
<file path=[Content_Types].xml><?xml version="1.0" encoding="utf-8"?>
<Types xmlns="http://schemas.openxmlformats.org/package/2006/content-types">
  <Override PartName="/xl/styles.xml" ContentType="application/vnd.openxmlformats-officedocument.spreadsheetml.styles+xml"/>
  <Override PartName="/xl/worksheets/sheet28.xml" ContentType="application/vnd.openxmlformats-officedocument.spreadsheetml.worksheet+xml"/>
  <Override PartName="/xl/drawings/drawing12.xml" ContentType="application/vnd.openxmlformats-officedocument.drawing+xml"/>
  <Override PartName="/xl/drawings/drawing7.xml" ContentType="application/vnd.openxmlformats-officedocument.drawing+xml"/>
  <Override PartName="/xl/worksheets/sheet24.xml" ContentType="application/vnd.openxmlformats-officedocument.spreadsheetml.worksheet+xml"/>
  <Override PartName="/xl/sharedStrings.xml" ContentType="application/vnd.openxmlformats-officedocument.spreadsheetml.sharedStrings+xml"/>
  <Override PartName="/xl/worksheets/sheet16.xml" ContentType="application/vnd.openxmlformats-officedocument.spreadsheetml.worksheet+xml"/>
  <Override PartName="/xl/drawings/drawing24.xml" ContentType="application/vnd.openxmlformats-officedocument.drawing+xml"/>
  <Override PartName="/xl/comments8.xml" ContentType="application/vnd.openxmlformats-officedocument.spreadsheetml.comments+xml"/>
  <Override PartName="/xl/worksheets/sheet12.xml" ContentType="application/vnd.openxmlformats-officedocument.spreadsheetml.worksheet+xml"/>
  <Override PartName="/xl/worksheets/sheet20.xml" ContentType="application/vnd.openxmlformats-officedocument.spreadsheetml.worksheet+xml"/>
  <Override PartName="/xl/drawings/drawing3.xml" ContentType="application/vnd.openxmlformats-officedocument.drawing+xml"/>
  <Default Extension="rels" ContentType="application/vnd.openxmlformats-package.relationships+xml"/>
  <Override PartName="/xl/worksheets/sheet9.xml" ContentType="application/vnd.openxmlformats-officedocument.spreadsheetml.worksheet+xml"/>
  <Override PartName="/xl/comments4.xml" ContentType="application/vnd.openxmlformats-officedocument.spreadsheetml.comments+xml"/>
  <Override PartName="/xl/drawings/drawing20.xml" ContentType="application/vnd.openxmlformats-officedocument.drawing+xml"/>
  <Override PartName="/docProps/app.xml" ContentType="application/vnd.openxmlformats-officedocument.extended-properties+xml"/>
  <Override PartName="/xl/drawings/drawing17.xml" ContentType="application/vnd.openxmlformats-officedocument.drawing+xml"/>
  <Override PartName="/xl/worksheets/sheet5.xml" ContentType="application/vnd.openxmlformats-officedocument.spreadsheetml.worksheet+xml"/>
  <Override PartName="/xl/drawings/drawing25.xml" ContentType="application/vnd.openxmlformats-officedocument.drawing+xml"/>
  <Default Extension="xml" ContentType="application/xml"/>
  <Override PartName="/xl/drawings/drawing13.xml" ContentType="application/vnd.openxmlformats-officedocument.drawing+xml"/>
  <Override PartName="/xl/drawings/drawing8.xml" ContentType="application/vnd.openxmlformats-officedocument.drawing+xml"/>
  <Override PartName="/xl/worksheets/sheet17.xml" ContentType="application/vnd.openxmlformats-officedocument.spreadsheetml.worksheet+xml"/>
  <Override PartName="/xl/worksheets/sheet25.xml" ContentType="application/vnd.openxmlformats-officedocument.spreadsheetml.worksheet+xml"/>
  <Override PartName="/xl/comments9.xml" ContentType="application/vnd.openxmlformats-officedocument.spreadsheetml.comments+xml"/>
  <Override PartName="/xl/drawings/drawing4.xml" ContentType="application/vnd.openxmlformats-officedocument.drawing+xml"/>
  <Override PartName="/xl/worksheets/sheet13.xml" ContentType="application/vnd.openxmlformats-officedocument.spreadsheetml.worksheet+xml"/>
  <Override PartName="/xl/worksheets/sheet21.xml" ContentType="application/vnd.openxmlformats-officedocument.spreadsheetml.worksheet+xml"/>
  <Override PartName="/docProps/core.xml" ContentType="application/vnd.openxmlformats-package.core-properties+xml"/>
  <Override PartName="/xl/worksheets/sheet1.xml" ContentType="application/vnd.openxmlformats-officedocument.spreadsheetml.worksheet+xml"/>
  <Override PartName="/xl/comments5.xml" ContentType="application/vnd.openxmlformats-officedocument.spreadsheetml.comments+xml"/>
  <Override PartName="/xl/drawings/drawing21.xml" ContentType="application/vnd.openxmlformats-officedocument.drawing+xml"/>
  <Override PartName="/xl/workbook.xml" ContentType="application/vnd.openxmlformats-officedocument.spreadsheetml.sheet.main+xml"/>
  <Default Extension="png" ContentType="image/png"/>
  <Override PartName="/xl/drawings/drawing18.xml" ContentType="application/vnd.openxmlformats-officedocument.drawing+xml"/>
  <Override PartName="/xl/worksheets/sheet6.xml" ContentType="application/vnd.openxmlformats-officedocument.spreadsheetml.worksheet+xml"/>
  <Override PartName="/xl/comments1.xml" ContentType="application/vnd.openxmlformats-officedocument.spreadsheetml.comments+xml"/>
  <Override PartName="/xl/drawings/drawing26.xml" ContentType="application/vnd.openxmlformats-officedocument.drawing+xml"/>
  <Override PartName="/xl/drawings/drawing14.xml" ContentType="application/vnd.openxmlformats-officedocument.drawing+xml"/>
  <Override PartName="/xl/drawings/drawing9.xml" ContentType="application/vnd.openxmlformats-officedocument.drawing+xml"/>
  <Override PartName="/xl/worksheets/sheet26.xml" ContentType="application/vnd.openxmlformats-officedocument.spreadsheetml.worksheet+xml"/>
  <Override PartName="/xl/theme/theme1.xml" ContentType="application/vnd.openxmlformats-officedocument.theme+xml"/>
  <Override PartName="/xl/worksheets/sheet18.xml" ContentType="application/vnd.openxmlformats-officedocument.spreadsheetml.worksheet+xml"/>
  <Override PartName="/xl/drawings/drawing10.xml" ContentType="application/vnd.openxmlformats-officedocument.drawing+xml"/>
  <Override PartName="/xl/calcChain.xml" ContentType="application/vnd.openxmlformats-officedocument.spreadsheetml.calcChain+xml"/>
  <Override PartName="/xl/drawings/drawing5.xml" ContentType="application/vnd.openxmlformats-officedocument.drawing+xml"/>
  <Override PartName="/xl/worksheets/sheet22.xml" ContentType="application/vnd.openxmlformats-officedocument.spreadsheetml.worksheet+xml"/>
  <Override PartName="/xl/worksheets/sheet14.xml" ContentType="application/vnd.openxmlformats-officedocument.spreadsheetml.worksheet+xml"/>
  <Default Extension="vml" ContentType="application/vnd.openxmlformats-officedocument.vmlDrawing"/>
  <Override PartName="/xl/worksheets/sheet2.xml" ContentType="application/vnd.openxmlformats-officedocument.spreadsheetml.worksheet+xml"/>
  <Override PartName="/xl/comments6.xml" ContentType="application/vnd.openxmlformats-officedocument.spreadsheetml.comments+xml"/>
  <Override PartName="/xl/drawings/drawing1.xml" ContentType="application/vnd.openxmlformats-officedocument.drawing+xml"/>
  <Override PartName="/xl/worksheets/sheet10.xml" ContentType="application/vnd.openxmlformats-officedocument.spreadsheetml.worksheet+xml"/>
  <Override PartName="/xl/drawings/drawing22.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comments2.xml" ContentType="application/vnd.openxmlformats-officedocument.spreadsheetml.comments+xml"/>
  <Override PartName="/xl/drawings/drawing27.xml" ContentType="application/vnd.openxmlformats-officedocument.drawing+xml"/>
  <Override PartName="/xl/drawings/drawing15.xml" ContentType="application/vnd.openxmlformats-officedocument.drawing+xml"/>
  <Override PartName="/xl/worksheets/sheet3.xml" ContentType="application/vnd.openxmlformats-officedocument.spreadsheetml.worksheet+xml"/>
  <Override PartName="/xl/worksheets/sheet19.xml" ContentType="application/vnd.openxmlformats-officedocument.spreadsheetml.worksheet+xml"/>
  <Override PartName="/xl/worksheets/sheet27.xml" ContentType="application/vnd.openxmlformats-officedocument.spreadsheetml.worksheet+xml"/>
  <Override PartName="/xl/drawings/drawing11.xml" ContentType="application/vnd.openxmlformats-officedocument.drawing+xml"/>
  <Override PartName="/xl/drawings/drawing6.xml" ContentType="application/vnd.openxmlformats-officedocument.drawing+xml"/>
  <Override PartName="/xl/worksheets/sheet15.xml" ContentType="application/vnd.openxmlformats-officedocument.spreadsheetml.worksheet+xml"/>
  <Override PartName="/xl/worksheets/sheet23.xml" ContentType="application/vnd.openxmlformats-officedocument.spreadsheetml.worksheet+xml"/>
  <Override PartName="/xl/drawings/drawing23.xml" ContentType="application/vnd.openxmlformats-officedocument.drawing+xml"/>
  <Override PartName="/xl/comments7.xml" ContentType="application/vnd.openxmlformats-officedocument.spreadsheetml.comments+xml"/>
  <Override PartName="/xl/drawings/drawing2.xml" ContentType="application/vnd.openxmlformats-officedocument.drawing+xml"/>
  <Override PartName="/xl/worksheets/sheet11.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xl/drawings/drawing16.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0" yWindow="0" windowWidth="38240" windowHeight="21700" tabRatio="591"/>
  </bookViews>
  <sheets>
    <sheet name="Welcome" sheetId="14" r:id="rId1"/>
    <sheet name="About My Ranch" sheetId="26" r:id="rId2"/>
    <sheet name="1. Cow-Calf_InputForm" sheetId="3" r:id="rId3"/>
    <sheet name="2a. Replacement_InputForm" sheetId="27" r:id="rId4"/>
    <sheet name="2b. HomeRaisedBulls_InputForm" sheetId="38" r:id="rId5"/>
    <sheet name="3. Backgrounder_InputForm" sheetId="28" r:id="rId6"/>
    <sheet name="4. Grasser_InputForm" sheetId="29" r:id="rId7"/>
    <sheet name="5. Finisher_InputForm" sheetId="31" r:id="rId8"/>
    <sheet name="6. Pasture_InputForm" sheetId="34" r:id="rId9"/>
    <sheet name="7. Forage_InputForm" sheetId="35" r:id="rId10"/>
    <sheet name="Data" sheetId="33" state="hidden" r:id="rId11"/>
    <sheet name="8. Grain_InputForm" sheetId="32" r:id="rId12"/>
    <sheet name="9. &quot;Other&quot; Revenues" sheetId="25" r:id="rId13"/>
    <sheet name="10. Expenses" sheetId="8" r:id="rId14"/>
    <sheet name="11. Unpaid Labour" sheetId="9" r:id="rId15"/>
    <sheet name="12. Assets_for Depreciation" sheetId="2" r:id="rId16"/>
    <sheet name="Production Indicators" sheetId="36" r:id="rId17"/>
    <sheet name="Cow-calf CoP" sheetId="6" r:id="rId18"/>
    <sheet name="Repl Heifer CoP" sheetId="11" r:id="rId19"/>
    <sheet name="RanchRaised Bull CoP" sheetId="39" r:id="rId20"/>
    <sheet name="Bckgrdr CoP" sheetId="12" r:id="rId21"/>
    <sheet name="Grasser CoP" sheetId="18" r:id="rId22"/>
    <sheet name="Finisher CoP" sheetId="37" r:id="rId23"/>
    <sheet name="Pasture CoP" sheetId="16" r:id="rId24"/>
    <sheet name="Forage CoP" sheetId="15" r:id="rId25"/>
    <sheet name="Grain CoP" sheetId="24" r:id="rId26"/>
    <sheet name="Winners_Losers" sheetId="22" r:id="rId27"/>
    <sheet name="Whole Farm Report" sheetId="23" r:id="rId28"/>
  </sheets>
  <definedNames>
    <definedName name="_xlnm.Print_Area" localSheetId="2">'1. Cow-Calf_InputForm'!$B$1:$T$119</definedName>
    <definedName name="_xlnm.Print_Area" localSheetId="13">'10. Expenses'!$A$1:$N$138</definedName>
    <definedName name="_xlnm.Print_Area" localSheetId="14">'11. Unpaid Labour'!$B$1:$P$25</definedName>
    <definedName name="_xlnm.Print_Area" localSheetId="15">'12. Assets_for Depreciation'!$B$1:$P$86</definedName>
    <definedName name="_xlnm.Print_Area" localSheetId="3">'2a. Replacement_InputForm'!$B$1:$U$69</definedName>
    <definedName name="_xlnm.Print_Area" localSheetId="4">'2b. HomeRaisedBulls_InputForm'!$A$1:$U$63</definedName>
    <definedName name="_xlnm.Print_Area" localSheetId="5">'3. Backgrounder_InputForm'!$A$1:$U$56</definedName>
    <definedName name="_xlnm.Print_Area" localSheetId="6">'4. Grasser_InputForm'!$A$1:$U$56</definedName>
    <definedName name="_xlnm.Print_Area" localSheetId="7">'5. Finisher_InputForm'!$B$1:$T$51</definedName>
    <definedName name="_xlnm.Print_Area" localSheetId="8">'6. Pasture_InputForm'!$A$1:$Q$32</definedName>
    <definedName name="_xlnm.Print_Area" localSheetId="9">'7. Forage_InputForm'!$A$1:$T$25</definedName>
    <definedName name="_xlnm.Print_Area" localSheetId="11">'8. Grain_InputForm'!$B$1:$U$24</definedName>
    <definedName name="_xlnm.Print_Area" localSheetId="12">'9. "Other" Revenues'!$B$1:$I$16</definedName>
    <definedName name="_xlnm.Print_Area" localSheetId="1">'About My Ranch'!$B$1:$L$25</definedName>
    <definedName name="_xlnm.Print_Area" localSheetId="20">'Bckgrdr CoP'!$B$1:$K$46</definedName>
    <definedName name="_xlnm.Print_Area" localSheetId="17">'Cow-calf CoP'!$B$1:$K$50</definedName>
    <definedName name="_xlnm.Print_Area" localSheetId="24">'Forage CoP'!$B$1:$J$38</definedName>
    <definedName name="_xlnm.Print_Area" localSheetId="23">'Pasture CoP'!$B$1:$H$40</definedName>
    <definedName name="_xlnm.Print_Area" localSheetId="16">'Production Indicators'!$B$1:$S$67</definedName>
    <definedName name="_xlnm.Print_Area" localSheetId="19">'RanchRaised Bull CoP'!$B$1:$J$46</definedName>
    <definedName name="_xlnm.Print_Area" localSheetId="18">'Repl Heifer CoP'!$B$1:$J$48</definedName>
    <definedName name="_xlnm.Print_Area" localSheetId="0">Welcome!$A$1:$K$66</definedName>
    <definedName name="_xlnm.Print_Area" localSheetId="27">'Whole Farm Report'!$B$1:$K$62</definedName>
    <definedName name="_xlnm.Print_Area" localSheetId="26">Winners_Losers!$B$1:$L$41</definedName>
    <definedName name="Units">'8. Grain_InputForm'!$H$10</definedName>
  </definedNames>
  <calcPr calcId="130406"/>
  <extLst>
    <ext xmlns:mx="http://schemas.microsoft.com/office/mac/excel/2008/main" uri="http://schemas.microsoft.com/office/mac/excel/2008/main">
      <mx:ArchID Flags="2"/>
    </ext>
  </extLst>
</workbook>
</file>

<file path=xl/calcChain.xml><?xml version="1.0" encoding="utf-8"?>
<calcChain xmlns="http://schemas.openxmlformats.org/spreadsheetml/2006/main">
  <c r="F3" i="3"/>
  <c r="H20"/>
  <c r="F97"/>
  <c r="P25"/>
  <c r="R25"/>
  <c r="P23"/>
  <c r="R23"/>
  <c r="D75"/>
  <c r="F50"/>
  <c r="J63"/>
  <c r="D50"/>
  <c r="D63"/>
  <c r="P27"/>
  <c r="R27"/>
  <c r="B2"/>
  <c r="F29"/>
  <c r="F10"/>
  <c r="D10"/>
  <c r="D29"/>
  <c r="P29"/>
  <c r="R29"/>
  <c r="N29"/>
  <c r="L29"/>
  <c r="J29"/>
  <c r="H29"/>
  <c r="H12"/>
  <c r="H16"/>
  <c r="B83"/>
  <c r="B81"/>
  <c r="H14"/>
  <c r="D26" i="8"/>
  <c r="Y26"/>
  <c r="AJ26"/>
  <c r="D27"/>
  <c r="Y27"/>
  <c r="AJ27"/>
  <c r="D28"/>
  <c r="Y28"/>
  <c r="AJ28"/>
  <c r="AJ29"/>
  <c r="F29"/>
  <c r="Z26"/>
  <c r="AK26"/>
  <c r="Z27"/>
  <c r="AK27"/>
  <c r="Z28"/>
  <c r="AK28"/>
  <c r="AK29"/>
  <c r="G29"/>
  <c r="AA26"/>
  <c r="AL26"/>
  <c r="AA27"/>
  <c r="AL27"/>
  <c r="AA28"/>
  <c r="AL28"/>
  <c r="AL29"/>
  <c r="H29"/>
  <c r="AB26"/>
  <c r="AM26"/>
  <c r="AB27"/>
  <c r="AM27"/>
  <c r="AB28"/>
  <c r="AM28"/>
  <c r="AM29"/>
  <c r="I29"/>
  <c r="AC26"/>
  <c r="AN26"/>
  <c r="AC27"/>
  <c r="AN27"/>
  <c r="AC28"/>
  <c r="AN28"/>
  <c r="AN29"/>
  <c r="J29"/>
  <c r="X26"/>
  <c r="AI26"/>
  <c r="X27"/>
  <c r="AI27"/>
  <c r="X28"/>
  <c r="AI28"/>
  <c r="AI29"/>
  <c r="E29"/>
  <c r="N133"/>
  <c r="D130"/>
  <c r="AF130"/>
  <c r="AQ130"/>
  <c r="D131"/>
  <c r="AF131"/>
  <c r="AQ131"/>
  <c r="D132"/>
  <c r="AF132"/>
  <c r="AQ132"/>
  <c r="AQ133"/>
  <c r="M133"/>
  <c r="AE130"/>
  <c r="AP130"/>
  <c r="AE131"/>
  <c r="AP131"/>
  <c r="AE132"/>
  <c r="AP132"/>
  <c r="AP133"/>
  <c r="L133"/>
  <c r="AD130"/>
  <c r="AO130"/>
  <c r="AD131"/>
  <c r="AO131"/>
  <c r="AD132"/>
  <c r="AO132"/>
  <c r="AO133"/>
  <c r="K133"/>
  <c r="AC130"/>
  <c r="AN130"/>
  <c r="AC131"/>
  <c r="AN131"/>
  <c r="AC132"/>
  <c r="AN132"/>
  <c r="AN133"/>
  <c r="J133"/>
  <c r="AB130"/>
  <c r="AM130"/>
  <c r="AB131"/>
  <c r="AM131"/>
  <c r="AB132"/>
  <c r="AM132"/>
  <c r="AM133"/>
  <c r="I133"/>
  <c r="AA130"/>
  <c r="AL130"/>
  <c r="AA131"/>
  <c r="AL131"/>
  <c r="AA132"/>
  <c r="AL132"/>
  <c r="AL133"/>
  <c r="H133"/>
  <c r="Z130"/>
  <c r="AK130"/>
  <c r="Z131"/>
  <c r="AK131"/>
  <c r="Z132"/>
  <c r="AK132"/>
  <c r="AK133"/>
  <c r="G133"/>
  <c r="Y130"/>
  <c r="AJ130"/>
  <c r="Y131"/>
  <c r="AJ131"/>
  <c r="Y132"/>
  <c r="AJ132"/>
  <c r="AJ133"/>
  <c r="F133"/>
  <c r="X130"/>
  <c r="AI130"/>
  <c r="X131"/>
  <c r="AI131"/>
  <c r="X132"/>
  <c r="AI132"/>
  <c r="AI133"/>
  <c r="E133"/>
  <c r="D117"/>
  <c r="AG117"/>
  <c r="AR117"/>
  <c r="D118"/>
  <c r="AG118"/>
  <c r="AR118"/>
  <c r="D119"/>
  <c r="AG119"/>
  <c r="AR119"/>
  <c r="AR120"/>
  <c r="N120"/>
  <c r="AF117"/>
  <c r="AQ117"/>
  <c r="AF118"/>
  <c r="AQ118"/>
  <c r="AF119"/>
  <c r="AQ119"/>
  <c r="AQ120"/>
  <c r="M120"/>
  <c r="AE117"/>
  <c r="AP117"/>
  <c r="AE118"/>
  <c r="AP118"/>
  <c r="AE119"/>
  <c r="AP119"/>
  <c r="AP120"/>
  <c r="L120"/>
  <c r="AD117"/>
  <c r="AO117"/>
  <c r="AD118"/>
  <c r="AO118"/>
  <c r="AD119"/>
  <c r="AO119"/>
  <c r="AO120"/>
  <c r="K120"/>
  <c r="AC117"/>
  <c r="AN117"/>
  <c r="AC118"/>
  <c r="AN118"/>
  <c r="AC119"/>
  <c r="AN119"/>
  <c r="AN120"/>
  <c r="J120"/>
  <c r="AB117"/>
  <c r="AM117"/>
  <c r="AB118"/>
  <c r="AM118"/>
  <c r="AB119"/>
  <c r="AM119"/>
  <c r="AM120"/>
  <c r="I120"/>
  <c r="AA117"/>
  <c r="AL117"/>
  <c r="AA118"/>
  <c r="AL118"/>
  <c r="AA119"/>
  <c r="AL119"/>
  <c r="AL120"/>
  <c r="H120"/>
  <c r="Z117"/>
  <c r="AK117"/>
  <c r="Z118"/>
  <c r="AK118"/>
  <c r="Z119"/>
  <c r="AK119"/>
  <c r="AK120"/>
  <c r="G120"/>
  <c r="Y117"/>
  <c r="AJ117"/>
  <c r="Y118"/>
  <c r="AJ118"/>
  <c r="Y119"/>
  <c r="AJ119"/>
  <c r="AJ120"/>
  <c r="F120"/>
  <c r="X117"/>
  <c r="AI117"/>
  <c r="X118"/>
  <c r="AI118"/>
  <c r="X119"/>
  <c r="AI119"/>
  <c r="AI120"/>
  <c r="E120"/>
  <c r="D100"/>
  <c r="AG100"/>
  <c r="AR100"/>
  <c r="D101"/>
  <c r="AG101"/>
  <c r="AR101"/>
  <c r="AR102"/>
  <c r="N102"/>
  <c r="AF100"/>
  <c r="AQ100"/>
  <c r="AF101"/>
  <c r="AQ101"/>
  <c r="AQ102"/>
  <c r="M102"/>
  <c r="AE100"/>
  <c r="AP100"/>
  <c r="AE101"/>
  <c r="AP101"/>
  <c r="AP102"/>
  <c r="L102"/>
  <c r="AD100"/>
  <c r="AO100"/>
  <c r="AD101"/>
  <c r="AO101"/>
  <c r="AO102"/>
  <c r="K102"/>
  <c r="AC100"/>
  <c r="AN100"/>
  <c r="AC101"/>
  <c r="AN101"/>
  <c r="AN102"/>
  <c r="J102"/>
  <c r="AB100"/>
  <c r="AM100"/>
  <c r="AB101"/>
  <c r="AM101"/>
  <c r="AM102"/>
  <c r="I102"/>
  <c r="AA100"/>
  <c r="AL100"/>
  <c r="AA101"/>
  <c r="AL101"/>
  <c r="AL102"/>
  <c r="H102"/>
  <c r="Z100"/>
  <c r="AK100"/>
  <c r="Z101"/>
  <c r="AK101"/>
  <c r="AK102"/>
  <c r="G102"/>
  <c r="Y100"/>
  <c r="AJ100"/>
  <c r="Y101"/>
  <c r="AJ101"/>
  <c r="AJ102"/>
  <c r="F102"/>
  <c r="X100"/>
  <c r="AI100"/>
  <c r="X101"/>
  <c r="AI101"/>
  <c r="AI102"/>
  <c r="E102"/>
  <c r="D85"/>
  <c r="Y85"/>
  <c r="AJ85"/>
  <c r="D86"/>
  <c r="Y86"/>
  <c r="AJ86"/>
  <c r="AJ87"/>
  <c r="F87"/>
  <c r="Z85"/>
  <c r="AK85"/>
  <c r="Z86"/>
  <c r="AK86"/>
  <c r="AK87"/>
  <c r="G87"/>
  <c r="AA85"/>
  <c r="AL85"/>
  <c r="AA86"/>
  <c r="AL86"/>
  <c r="AL87"/>
  <c r="H87"/>
  <c r="AB85"/>
  <c r="AM85"/>
  <c r="AB86"/>
  <c r="AM86"/>
  <c r="AM87"/>
  <c r="I87"/>
  <c r="AC85"/>
  <c r="AN85"/>
  <c r="AC86"/>
  <c r="AN86"/>
  <c r="AN87"/>
  <c r="J87"/>
  <c r="AD85"/>
  <c r="AO85"/>
  <c r="AD86"/>
  <c r="AO86"/>
  <c r="AO87"/>
  <c r="K87"/>
  <c r="AE85"/>
  <c r="AP85"/>
  <c r="AE86"/>
  <c r="AP86"/>
  <c r="AP87"/>
  <c r="L87"/>
  <c r="AF85"/>
  <c r="AQ85"/>
  <c r="AF86"/>
  <c r="AQ86"/>
  <c r="AQ87"/>
  <c r="M87"/>
  <c r="AG85"/>
  <c r="AR85"/>
  <c r="AG86"/>
  <c r="AR86"/>
  <c r="AR87"/>
  <c r="N87"/>
  <c r="X85"/>
  <c r="AI85"/>
  <c r="X86"/>
  <c r="AI86"/>
  <c r="AI87"/>
  <c r="E87"/>
  <c r="J25"/>
  <c r="J17"/>
  <c r="J9"/>
  <c r="AR9"/>
  <c r="AR17"/>
  <c r="AR25"/>
  <c r="AG9"/>
  <c r="AG17"/>
  <c r="AG25"/>
  <c r="D50"/>
  <c r="AG50"/>
  <c r="AR50"/>
  <c r="D53"/>
  <c r="AG53"/>
  <c r="AR53"/>
  <c r="D54"/>
  <c r="AG54"/>
  <c r="AR54"/>
  <c r="D60"/>
  <c r="AG60"/>
  <c r="AR60"/>
  <c r="D61"/>
  <c r="AG61"/>
  <c r="AR61"/>
  <c r="D67"/>
  <c r="AG67"/>
  <c r="AR67"/>
  <c r="D92"/>
  <c r="AG92"/>
  <c r="AR92"/>
  <c r="D93"/>
  <c r="AG93"/>
  <c r="AR93"/>
  <c r="AG130"/>
  <c r="AR130"/>
  <c r="AG131"/>
  <c r="AR131"/>
  <c r="AG132"/>
  <c r="AR132"/>
  <c r="D125"/>
  <c r="AG125"/>
  <c r="AR125"/>
  <c r="D126"/>
  <c r="AG126"/>
  <c r="AR126"/>
  <c r="D124"/>
  <c r="AG124"/>
  <c r="AR124"/>
  <c r="D112"/>
  <c r="AG112"/>
  <c r="AR112"/>
  <c r="D113"/>
  <c r="AG113"/>
  <c r="AR113"/>
  <c r="D111"/>
  <c r="AG111"/>
  <c r="AR111"/>
  <c r="D106"/>
  <c r="AG106"/>
  <c r="AR106"/>
  <c r="D107"/>
  <c r="AG107"/>
  <c r="AR107"/>
  <c r="D105"/>
  <c r="AG105"/>
  <c r="AR105"/>
  <c r="D91"/>
  <c r="AG91"/>
  <c r="AR91"/>
  <c r="D94"/>
  <c r="AG94"/>
  <c r="AR94"/>
  <c r="D95"/>
  <c r="AG95"/>
  <c r="AR95"/>
  <c r="D96"/>
  <c r="AG96"/>
  <c r="AR96"/>
  <c r="D90"/>
  <c r="AG90"/>
  <c r="AR90"/>
  <c r="D79"/>
  <c r="AG79"/>
  <c r="AR79"/>
  <c r="D80"/>
  <c r="AG80"/>
  <c r="AR80"/>
  <c r="D81"/>
  <c r="AG81"/>
  <c r="AR81"/>
  <c r="D78"/>
  <c r="AG78"/>
  <c r="AR78"/>
  <c r="D66"/>
  <c r="AG66"/>
  <c r="AR66"/>
  <c r="D68"/>
  <c r="AG68"/>
  <c r="AR68"/>
  <c r="D69"/>
  <c r="AG69"/>
  <c r="AR69"/>
  <c r="D70"/>
  <c r="AG70"/>
  <c r="AR70"/>
  <c r="D71"/>
  <c r="AG71"/>
  <c r="AR71"/>
  <c r="D72"/>
  <c r="AG72"/>
  <c r="AR72"/>
  <c r="D73"/>
  <c r="AG73"/>
  <c r="AR73"/>
  <c r="D74"/>
  <c r="AG74"/>
  <c r="AR74"/>
  <c r="D65"/>
  <c r="AG65"/>
  <c r="AR65"/>
  <c r="D59"/>
  <c r="AG59"/>
  <c r="AR59"/>
  <c r="D58"/>
  <c r="AG58"/>
  <c r="AR58"/>
  <c r="N62"/>
  <c r="N129"/>
  <c r="AG129"/>
  <c r="N123"/>
  <c r="AR123"/>
  <c r="N116"/>
  <c r="AR116"/>
  <c r="N110"/>
  <c r="AG110"/>
  <c r="N104"/>
  <c r="AG104"/>
  <c r="N99"/>
  <c r="AG99"/>
  <c r="N89"/>
  <c r="AR89"/>
  <c r="N84"/>
  <c r="AG84"/>
  <c r="N77"/>
  <c r="AG77"/>
  <c r="N64"/>
  <c r="AG64"/>
  <c r="D40"/>
  <c r="AG40"/>
  <c r="AR40"/>
  <c r="D41"/>
  <c r="AG41"/>
  <c r="AR41"/>
  <c r="D39"/>
  <c r="AG39"/>
  <c r="AR39"/>
  <c r="N42"/>
  <c r="N57"/>
  <c r="AG57"/>
  <c r="D46"/>
  <c r="AG46"/>
  <c r="AR46"/>
  <c r="D47"/>
  <c r="AG47"/>
  <c r="AR47"/>
  <c r="D48"/>
  <c r="AG48"/>
  <c r="AR48"/>
  <c r="D49"/>
  <c r="AG49"/>
  <c r="AR49"/>
  <c r="D51"/>
  <c r="AG51"/>
  <c r="AR51"/>
  <c r="D52"/>
  <c r="AG52"/>
  <c r="AR52"/>
  <c r="D45"/>
  <c r="AG45"/>
  <c r="AR45"/>
  <c r="N55"/>
  <c r="N44"/>
  <c r="AG44"/>
  <c r="N38"/>
  <c r="AG38"/>
  <c r="N82"/>
  <c r="N75"/>
  <c r="AR108"/>
  <c r="N108"/>
  <c r="AR97"/>
  <c r="N97"/>
  <c r="AR114"/>
  <c r="N114"/>
  <c r="AR127"/>
  <c r="N127"/>
  <c r="AR82"/>
  <c r="AR75"/>
  <c r="AR57"/>
  <c r="AG116"/>
  <c r="AG89"/>
  <c r="AR84"/>
  <c r="AR110"/>
  <c r="AG123"/>
  <c r="AR99"/>
  <c r="AR64"/>
  <c r="AR44"/>
  <c r="AR38"/>
  <c r="AR77"/>
  <c r="AR104"/>
  <c r="AR129"/>
  <c r="X128"/>
  <c r="X122"/>
  <c r="X115"/>
  <c r="X109"/>
  <c r="X103"/>
  <c r="X98"/>
  <c r="X88"/>
  <c r="X83"/>
  <c r="X76"/>
  <c r="X63"/>
  <c r="X56"/>
  <c r="X43"/>
  <c r="AD45"/>
  <c r="AO45"/>
  <c r="X37"/>
  <c r="X8"/>
  <c r="X16"/>
  <c r="X24"/>
  <c r="C55"/>
  <c r="C42"/>
  <c r="Z40"/>
  <c r="AK40"/>
  <c r="AB41"/>
  <c r="AM41"/>
  <c r="AE46"/>
  <c r="AP46"/>
  <c r="Z47"/>
  <c r="AK47"/>
  <c r="AE48"/>
  <c r="AP48"/>
  <c r="AE49"/>
  <c r="AP49"/>
  <c r="AD50"/>
  <c r="AO50"/>
  <c r="Z51"/>
  <c r="AK51"/>
  <c r="AE52"/>
  <c r="AP52"/>
  <c r="X54"/>
  <c r="AI54"/>
  <c r="Z45"/>
  <c r="AK45"/>
  <c r="AF61"/>
  <c r="AQ61"/>
  <c r="Y58"/>
  <c r="AJ58"/>
  <c r="AB66"/>
  <c r="AM66"/>
  <c r="AB67"/>
  <c r="AM67"/>
  <c r="AB68"/>
  <c r="AM68"/>
  <c r="AF69"/>
  <c r="AQ69"/>
  <c r="AB72"/>
  <c r="AM72"/>
  <c r="AF73"/>
  <c r="AQ73"/>
  <c r="AB74"/>
  <c r="AM74"/>
  <c r="AC79"/>
  <c r="AN79"/>
  <c r="Y80"/>
  <c r="AJ80"/>
  <c r="AC78"/>
  <c r="AN78"/>
  <c r="AF91"/>
  <c r="AQ91"/>
  <c r="AF93"/>
  <c r="AQ93"/>
  <c r="AB94"/>
  <c r="AM94"/>
  <c r="AF96"/>
  <c r="AQ96"/>
  <c r="AF90"/>
  <c r="AQ90"/>
  <c r="AD107"/>
  <c r="AO107"/>
  <c r="Z105"/>
  <c r="AK105"/>
  <c r="X112"/>
  <c r="AI112"/>
  <c r="Y113"/>
  <c r="AJ113"/>
  <c r="Y111"/>
  <c r="AJ111"/>
  <c r="AA125"/>
  <c r="AL125"/>
  <c r="AE126"/>
  <c r="AP126"/>
  <c r="AE124"/>
  <c r="AP124"/>
  <c r="C13"/>
  <c r="C21"/>
  <c r="C29"/>
  <c r="D19"/>
  <c r="D20"/>
  <c r="AB20"/>
  <c r="AM20"/>
  <c r="I25"/>
  <c r="AB25"/>
  <c r="H25"/>
  <c r="AL25"/>
  <c r="G25"/>
  <c r="Z25"/>
  <c r="F25"/>
  <c r="AJ25"/>
  <c r="E25"/>
  <c r="X25"/>
  <c r="I17"/>
  <c r="H17"/>
  <c r="G17"/>
  <c r="F17"/>
  <c r="E17"/>
  <c r="C87"/>
  <c r="M129"/>
  <c r="AQ129"/>
  <c r="L129"/>
  <c r="AE129"/>
  <c r="K129"/>
  <c r="AD129"/>
  <c r="J129"/>
  <c r="AN129"/>
  <c r="I129"/>
  <c r="AM129"/>
  <c r="H129"/>
  <c r="AA129"/>
  <c r="G129"/>
  <c r="Z129"/>
  <c r="F129"/>
  <c r="AJ129"/>
  <c r="E129"/>
  <c r="AI129"/>
  <c r="M123"/>
  <c r="AQ123"/>
  <c r="L123"/>
  <c r="AP123"/>
  <c r="K123"/>
  <c r="AD123"/>
  <c r="J123"/>
  <c r="AN123"/>
  <c r="I123"/>
  <c r="AM123"/>
  <c r="H123"/>
  <c r="AA123"/>
  <c r="G123"/>
  <c r="Z123"/>
  <c r="F123"/>
  <c r="AJ123"/>
  <c r="E123"/>
  <c r="AI123"/>
  <c r="M116"/>
  <c r="AF116"/>
  <c r="L116"/>
  <c r="AE116"/>
  <c r="K116"/>
  <c r="AD116"/>
  <c r="J116"/>
  <c r="AN116"/>
  <c r="I116"/>
  <c r="AB116"/>
  <c r="H116"/>
  <c r="AA116"/>
  <c r="G116"/>
  <c r="Z116"/>
  <c r="F116"/>
  <c r="AJ116"/>
  <c r="E116"/>
  <c r="AI116"/>
  <c r="M110"/>
  <c r="AQ110"/>
  <c r="L110"/>
  <c r="AP110"/>
  <c r="K110"/>
  <c r="AD110"/>
  <c r="J110"/>
  <c r="AN110"/>
  <c r="I110"/>
  <c r="AM110"/>
  <c r="H110"/>
  <c r="AA110"/>
  <c r="G110"/>
  <c r="Z110"/>
  <c r="F110"/>
  <c r="AJ110"/>
  <c r="E110"/>
  <c r="AI110"/>
  <c r="M104"/>
  <c r="AQ104"/>
  <c r="L104"/>
  <c r="AP104"/>
  <c r="K104"/>
  <c r="AD104"/>
  <c r="J104"/>
  <c r="AN104"/>
  <c r="I104"/>
  <c r="AM104"/>
  <c r="H104"/>
  <c r="AA104"/>
  <c r="G104"/>
  <c r="Z104"/>
  <c r="F104"/>
  <c r="AJ104"/>
  <c r="E104"/>
  <c r="AI104"/>
  <c r="M99"/>
  <c r="AQ99"/>
  <c r="L99"/>
  <c r="AE99"/>
  <c r="K99"/>
  <c r="AD99"/>
  <c r="J99"/>
  <c r="AN99"/>
  <c r="I99"/>
  <c r="AM99"/>
  <c r="H99"/>
  <c r="AA99"/>
  <c r="G99"/>
  <c r="Z99"/>
  <c r="F99"/>
  <c r="AJ99"/>
  <c r="E99"/>
  <c r="AI99"/>
  <c r="M89"/>
  <c r="AQ89"/>
  <c r="L89"/>
  <c r="AE89"/>
  <c r="K89"/>
  <c r="AD89"/>
  <c r="J89"/>
  <c r="AN89"/>
  <c r="I89"/>
  <c r="AM89"/>
  <c r="H89"/>
  <c r="AA89"/>
  <c r="G89"/>
  <c r="Z89"/>
  <c r="F89"/>
  <c r="AJ89"/>
  <c r="E89"/>
  <c r="AI89"/>
  <c r="M84"/>
  <c r="AQ84"/>
  <c r="L84"/>
  <c r="AP84"/>
  <c r="K84"/>
  <c r="AD84"/>
  <c r="J84"/>
  <c r="AN84"/>
  <c r="I84"/>
  <c r="AM84"/>
  <c r="H84"/>
  <c r="AA84"/>
  <c r="G84"/>
  <c r="Z84"/>
  <c r="F84"/>
  <c r="AJ84"/>
  <c r="E84"/>
  <c r="AI84"/>
  <c r="M77"/>
  <c r="AQ77"/>
  <c r="L77"/>
  <c r="AP77"/>
  <c r="K77"/>
  <c r="AD77"/>
  <c r="J77"/>
  <c r="AN77"/>
  <c r="I77"/>
  <c r="AM77"/>
  <c r="H77"/>
  <c r="AA77"/>
  <c r="G77"/>
  <c r="Z77"/>
  <c r="F77"/>
  <c r="AJ77"/>
  <c r="E77"/>
  <c r="AI77"/>
  <c r="M64"/>
  <c r="AF64"/>
  <c r="L64"/>
  <c r="AE64"/>
  <c r="K64"/>
  <c r="AD64"/>
  <c r="J64"/>
  <c r="AN64"/>
  <c r="I64"/>
  <c r="AB64"/>
  <c r="H64"/>
  <c r="AA64"/>
  <c r="G64"/>
  <c r="Z64"/>
  <c r="F64"/>
  <c r="AJ64"/>
  <c r="E64"/>
  <c r="X64"/>
  <c r="M57"/>
  <c r="AQ57"/>
  <c r="L57"/>
  <c r="AE57"/>
  <c r="K57"/>
  <c r="AD57"/>
  <c r="J57"/>
  <c r="AN57"/>
  <c r="I57"/>
  <c r="AM57"/>
  <c r="H57"/>
  <c r="AL57"/>
  <c r="G57"/>
  <c r="Z57"/>
  <c r="F57"/>
  <c r="AJ57"/>
  <c r="E57"/>
  <c r="AI57"/>
  <c r="M44"/>
  <c r="AQ44"/>
  <c r="L44"/>
  <c r="AE44"/>
  <c r="K44"/>
  <c r="AD44"/>
  <c r="J44"/>
  <c r="AN44"/>
  <c r="I44"/>
  <c r="AB44"/>
  <c r="H44"/>
  <c r="AA44"/>
  <c r="G44"/>
  <c r="Z44"/>
  <c r="F44"/>
  <c r="AJ44"/>
  <c r="E44"/>
  <c r="AI44"/>
  <c r="M38"/>
  <c r="AF38"/>
  <c r="L38"/>
  <c r="AE38"/>
  <c r="K38"/>
  <c r="AD38"/>
  <c r="J38"/>
  <c r="AN38"/>
  <c r="I38"/>
  <c r="AB38"/>
  <c r="H38"/>
  <c r="AA38"/>
  <c r="G38"/>
  <c r="Z38"/>
  <c r="F38"/>
  <c r="AJ38"/>
  <c r="E38"/>
  <c r="X38"/>
  <c r="AF25"/>
  <c r="AP25"/>
  <c r="AD25"/>
  <c r="AC25"/>
  <c r="Y59"/>
  <c r="AJ59"/>
  <c r="Y60"/>
  <c r="AJ60"/>
  <c r="Y61"/>
  <c r="AJ61"/>
  <c r="F62"/>
  <c r="Y20"/>
  <c r="AJ20"/>
  <c r="AG20"/>
  <c r="AR20"/>
  <c r="AA19"/>
  <c r="AL19"/>
  <c r="AG19"/>
  <c r="AR19"/>
  <c r="AE28"/>
  <c r="AP28"/>
  <c r="AG28"/>
  <c r="AR28"/>
  <c r="AG27"/>
  <c r="AR27"/>
  <c r="X69"/>
  <c r="AI69"/>
  <c r="AB40"/>
  <c r="AM40"/>
  <c r="AE45"/>
  <c r="AP45"/>
  <c r="AE47"/>
  <c r="AP47"/>
  <c r="AE50"/>
  <c r="AP50"/>
  <c r="AE51"/>
  <c r="AP51"/>
  <c r="AE53"/>
  <c r="AP53"/>
  <c r="AE54"/>
  <c r="AP54"/>
  <c r="L55"/>
  <c r="AF19"/>
  <c r="AQ19"/>
  <c r="AD51"/>
  <c r="AO51"/>
  <c r="AB73"/>
  <c r="AM73"/>
  <c r="AC61"/>
  <c r="AN61"/>
  <c r="X93"/>
  <c r="AI93"/>
  <c r="AE68"/>
  <c r="AP68"/>
  <c r="AF79"/>
  <c r="AQ79"/>
  <c r="AA90"/>
  <c r="AL90"/>
  <c r="AB111"/>
  <c r="AM111"/>
  <c r="AF27"/>
  <c r="AQ27"/>
  <c r="AE40"/>
  <c r="AP40"/>
  <c r="AD54"/>
  <c r="AO54"/>
  <c r="AD47"/>
  <c r="AO47"/>
  <c r="X72"/>
  <c r="AI72"/>
  <c r="AB69"/>
  <c r="AM69"/>
  <c r="AC80"/>
  <c r="AN80"/>
  <c r="J82"/>
  <c r="AA93"/>
  <c r="AL93"/>
  <c r="Y107"/>
  <c r="AJ107"/>
  <c r="Z125"/>
  <c r="AK125"/>
  <c r="AE27"/>
  <c r="AP27"/>
  <c r="AE72"/>
  <c r="AP72"/>
  <c r="AE20"/>
  <c r="AP20"/>
  <c r="AF40"/>
  <c r="AQ40"/>
  <c r="X50"/>
  <c r="AI50"/>
  <c r="AD48"/>
  <c r="AO48"/>
  <c r="AD46"/>
  <c r="AO46"/>
  <c r="AC58"/>
  <c r="AN58"/>
  <c r="AE73"/>
  <c r="AP73"/>
  <c r="AE69"/>
  <c r="AP69"/>
  <c r="AF80"/>
  <c r="AQ80"/>
  <c r="AA94"/>
  <c r="AL94"/>
  <c r="Y105"/>
  <c r="AJ105"/>
  <c r="AE125"/>
  <c r="AP125"/>
  <c r="AP127"/>
  <c r="L127"/>
  <c r="AF41"/>
  <c r="AQ41"/>
  <c r="AB19"/>
  <c r="AM19"/>
  <c r="AD28"/>
  <c r="AO28"/>
  <c r="AD27"/>
  <c r="AO27"/>
  <c r="AA41"/>
  <c r="AL41"/>
  <c r="AA40"/>
  <c r="AL40"/>
  <c r="AD52"/>
  <c r="AO52"/>
  <c r="AF58"/>
  <c r="AQ58"/>
  <c r="X79"/>
  <c r="AI79"/>
  <c r="AF94"/>
  <c r="AQ94"/>
  <c r="AD105"/>
  <c r="AO105"/>
  <c r="AB106"/>
  <c r="AM106"/>
  <c r="AF106"/>
  <c r="AQ106"/>
  <c r="AA106"/>
  <c r="AL106"/>
  <c r="AE106"/>
  <c r="AP106"/>
  <c r="AC106"/>
  <c r="AN106"/>
  <c r="Z106"/>
  <c r="AK106"/>
  <c r="Y106"/>
  <c r="AJ106"/>
  <c r="X106"/>
  <c r="AI106"/>
  <c r="Z92"/>
  <c r="AK92"/>
  <c r="AD92"/>
  <c r="AO92"/>
  <c r="X92"/>
  <c r="AI92"/>
  <c r="Y92"/>
  <c r="AJ92"/>
  <c r="AC92"/>
  <c r="AN92"/>
  <c r="AE92"/>
  <c r="AP92"/>
  <c r="AB92"/>
  <c r="AM92"/>
  <c r="AA92"/>
  <c r="AL92"/>
  <c r="Z65"/>
  <c r="AK65"/>
  <c r="AD65"/>
  <c r="AO65"/>
  <c r="X65"/>
  <c r="AI65"/>
  <c r="Y65"/>
  <c r="AJ65"/>
  <c r="AC65"/>
  <c r="AN65"/>
  <c r="AA65"/>
  <c r="AL65"/>
  <c r="AF65"/>
  <c r="AQ65"/>
  <c r="AE65"/>
  <c r="AP65"/>
  <c r="Z71"/>
  <c r="AK71"/>
  <c r="AD71"/>
  <c r="AO71"/>
  <c r="X71"/>
  <c r="AI71"/>
  <c r="Y71"/>
  <c r="AJ71"/>
  <c r="AC71"/>
  <c r="AN71"/>
  <c r="AA71"/>
  <c r="AL71"/>
  <c r="AF71"/>
  <c r="AQ71"/>
  <c r="AE71"/>
  <c r="AP71"/>
  <c r="AA60"/>
  <c r="AL60"/>
  <c r="AE60"/>
  <c r="AP60"/>
  <c r="Z60"/>
  <c r="AK60"/>
  <c r="AD60"/>
  <c r="AO60"/>
  <c r="X60"/>
  <c r="AI60"/>
  <c r="AB60"/>
  <c r="AM60"/>
  <c r="Y53"/>
  <c r="AJ53"/>
  <c r="AC53"/>
  <c r="AN53"/>
  <c r="AB53"/>
  <c r="AM53"/>
  <c r="AF53"/>
  <c r="AQ53"/>
  <c r="AA53"/>
  <c r="AL53"/>
  <c r="Z53"/>
  <c r="AK53"/>
  <c r="Z39"/>
  <c r="AK39"/>
  <c r="Z41"/>
  <c r="AK41"/>
  <c r="G42"/>
  <c r="AD39"/>
  <c r="AO39"/>
  <c r="AD40"/>
  <c r="AO40"/>
  <c r="AD41"/>
  <c r="AO41"/>
  <c r="K42"/>
  <c r="Y39"/>
  <c r="AJ39"/>
  <c r="Y40"/>
  <c r="AJ40"/>
  <c r="Y41"/>
  <c r="AJ41"/>
  <c r="F42"/>
  <c r="AC39"/>
  <c r="AN39"/>
  <c r="AC40"/>
  <c r="AN40"/>
  <c r="AC41"/>
  <c r="AN41"/>
  <c r="J42"/>
  <c r="AF39"/>
  <c r="AQ39"/>
  <c r="M42"/>
  <c r="AB71"/>
  <c r="AM71"/>
  <c r="AB65"/>
  <c r="AM65"/>
  <c r="AD106"/>
  <c r="AO106"/>
  <c r="X39"/>
  <c r="AI39"/>
  <c r="X40"/>
  <c r="AI40"/>
  <c r="X41"/>
  <c r="AI41"/>
  <c r="E42"/>
  <c r="AA39"/>
  <c r="AL39"/>
  <c r="H42"/>
  <c r="X53"/>
  <c r="AI53"/>
  <c r="AC60"/>
  <c r="AN60"/>
  <c r="AB39"/>
  <c r="AM39"/>
  <c r="I42"/>
  <c r="AF60"/>
  <c r="AQ60"/>
  <c r="AF92"/>
  <c r="AQ92"/>
  <c r="Y124"/>
  <c r="AJ124"/>
  <c r="AC124"/>
  <c r="AN124"/>
  <c r="AB124"/>
  <c r="AM124"/>
  <c r="AF124"/>
  <c r="AQ124"/>
  <c r="AD124"/>
  <c r="AO124"/>
  <c r="AA124"/>
  <c r="AL124"/>
  <c r="X124"/>
  <c r="AI124"/>
  <c r="Z124"/>
  <c r="AK124"/>
  <c r="AA113"/>
  <c r="AL113"/>
  <c r="AE113"/>
  <c r="AP113"/>
  <c r="Z113"/>
  <c r="AK113"/>
  <c r="AD113"/>
  <c r="AO113"/>
  <c r="X113"/>
  <c r="AI113"/>
  <c r="AF113"/>
  <c r="AQ113"/>
  <c r="AC113"/>
  <c r="AN113"/>
  <c r="AB113"/>
  <c r="AM113"/>
  <c r="Z96"/>
  <c r="AK96"/>
  <c r="AD96"/>
  <c r="AO96"/>
  <c r="X96"/>
  <c r="AI96"/>
  <c r="Y96"/>
  <c r="AJ96"/>
  <c r="AC96"/>
  <c r="AN96"/>
  <c r="AE96"/>
  <c r="AP96"/>
  <c r="AB96"/>
  <c r="AM96"/>
  <c r="AA96"/>
  <c r="AL96"/>
  <c r="AA78"/>
  <c r="AL78"/>
  <c r="AE78"/>
  <c r="AP78"/>
  <c r="X78"/>
  <c r="AI78"/>
  <c r="E82"/>
  <c r="Z78"/>
  <c r="AK78"/>
  <c r="AD78"/>
  <c r="AO78"/>
  <c r="AB78"/>
  <c r="AM78"/>
  <c r="Y78"/>
  <c r="AJ78"/>
  <c r="AF78"/>
  <c r="AQ78"/>
  <c r="Z67"/>
  <c r="AK67"/>
  <c r="AD67"/>
  <c r="AO67"/>
  <c r="X67"/>
  <c r="AI67"/>
  <c r="Y67"/>
  <c r="AJ67"/>
  <c r="AC67"/>
  <c r="AN67"/>
  <c r="AA67"/>
  <c r="AL67"/>
  <c r="AF67"/>
  <c r="AQ67"/>
  <c r="AE67"/>
  <c r="AP67"/>
  <c r="Y49"/>
  <c r="AJ49"/>
  <c r="AC49"/>
  <c r="AN49"/>
  <c r="AB49"/>
  <c r="AM49"/>
  <c r="AF49"/>
  <c r="AQ49"/>
  <c r="AA49"/>
  <c r="AL49"/>
  <c r="Z49"/>
  <c r="AK49"/>
  <c r="AF28"/>
  <c r="AQ28"/>
  <c r="Y126"/>
  <c r="AJ126"/>
  <c r="AC126"/>
  <c r="AN126"/>
  <c r="AB126"/>
  <c r="AM126"/>
  <c r="AF126"/>
  <c r="AQ126"/>
  <c r="AD126"/>
  <c r="AO126"/>
  <c r="AA126"/>
  <c r="AL126"/>
  <c r="Z126"/>
  <c r="AK126"/>
  <c r="X126"/>
  <c r="AI126"/>
  <c r="AA112"/>
  <c r="AL112"/>
  <c r="AE112"/>
  <c r="AP112"/>
  <c r="Z112"/>
  <c r="AK112"/>
  <c r="AD112"/>
  <c r="AO112"/>
  <c r="AF112"/>
  <c r="AQ112"/>
  <c r="AC112"/>
  <c r="AN112"/>
  <c r="AB112"/>
  <c r="AM112"/>
  <c r="Z95"/>
  <c r="AK95"/>
  <c r="AD95"/>
  <c r="AO95"/>
  <c r="Y95"/>
  <c r="AJ95"/>
  <c r="AC95"/>
  <c r="AN95"/>
  <c r="X95"/>
  <c r="AI95"/>
  <c r="AE95"/>
  <c r="AP95"/>
  <c r="AB95"/>
  <c r="AM95"/>
  <c r="AA95"/>
  <c r="AL95"/>
  <c r="Z91"/>
  <c r="AK91"/>
  <c r="AD91"/>
  <c r="AO91"/>
  <c r="Y91"/>
  <c r="AJ91"/>
  <c r="AC91"/>
  <c r="AN91"/>
  <c r="X91"/>
  <c r="AI91"/>
  <c r="AE91"/>
  <c r="AP91"/>
  <c r="AB91"/>
  <c r="AM91"/>
  <c r="AA91"/>
  <c r="AL91"/>
  <c r="AB81"/>
  <c r="AM81"/>
  <c r="AC81"/>
  <c r="AN81"/>
  <c r="Z81"/>
  <c r="AK81"/>
  <c r="AD81"/>
  <c r="AO81"/>
  <c r="Y81"/>
  <c r="AJ81"/>
  <c r="Z74"/>
  <c r="AK74"/>
  <c r="AD74"/>
  <c r="AO74"/>
  <c r="Y74"/>
  <c r="AJ74"/>
  <c r="AC74"/>
  <c r="AN74"/>
  <c r="X74"/>
  <c r="AI74"/>
  <c r="AA74"/>
  <c r="AL74"/>
  <c r="AF74"/>
  <c r="AQ74"/>
  <c r="AE74"/>
  <c r="AP74"/>
  <c r="Z70"/>
  <c r="AK70"/>
  <c r="AD70"/>
  <c r="AO70"/>
  <c r="Y70"/>
  <c r="AJ70"/>
  <c r="AC70"/>
  <c r="AN70"/>
  <c r="X70"/>
  <c r="AI70"/>
  <c r="AA70"/>
  <c r="AL70"/>
  <c r="AF70"/>
  <c r="AQ70"/>
  <c r="AE70"/>
  <c r="AP70"/>
  <c r="Z66"/>
  <c r="AK66"/>
  <c r="AD66"/>
  <c r="AO66"/>
  <c r="Y66"/>
  <c r="AJ66"/>
  <c r="AC66"/>
  <c r="AN66"/>
  <c r="X66"/>
  <c r="AI66"/>
  <c r="AA66"/>
  <c r="AL66"/>
  <c r="AF66"/>
  <c r="AQ66"/>
  <c r="AE66"/>
  <c r="AP66"/>
  <c r="AA59"/>
  <c r="AL59"/>
  <c r="X59"/>
  <c r="AI59"/>
  <c r="Y52"/>
  <c r="AJ52"/>
  <c r="AC52"/>
  <c r="AN52"/>
  <c r="AB52"/>
  <c r="AM52"/>
  <c r="AF52"/>
  <c r="AQ52"/>
  <c r="AA52"/>
  <c r="AL52"/>
  <c r="X52"/>
  <c r="AI52"/>
  <c r="Z52"/>
  <c r="AK52"/>
  <c r="Y48"/>
  <c r="AJ48"/>
  <c r="AC48"/>
  <c r="AN48"/>
  <c r="AB48"/>
  <c r="AM48"/>
  <c r="AF48"/>
  <c r="AQ48"/>
  <c r="AA48"/>
  <c r="AL48"/>
  <c r="X48"/>
  <c r="AI48"/>
  <c r="Z48"/>
  <c r="AK48"/>
  <c r="AE41"/>
  <c r="AP41"/>
  <c r="AE39"/>
  <c r="AP39"/>
  <c r="L42"/>
  <c r="X49"/>
  <c r="AI49"/>
  <c r="AD53"/>
  <c r="AO53"/>
  <c r="AD49"/>
  <c r="AO49"/>
  <c r="AB70"/>
  <c r="AM70"/>
  <c r="AF95"/>
  <c r="AQ95"/>
  <c r="Y112"/>
  <c r="AJ112"/>
  <c r="AJ114"/>
  <c r="F114"/>
  <c r="AA111"/>
  <c r="AL111"/>
  <c r="AE111"/>
  <c r="AP111"/>
  <c r="X111"/>
  <c r="AI111"/>
  <c r="Z111"/>
  <c r="AK111"/>
  <c r="AD111"/>
  <c r="AO111"/>
  <c r="AB107"/>
  <c r="AM107"/>
  <c r="AF107"/>
  <c r="AQ107"/>
  <c r="AA107"/>
  <c r="AL107"/>
  <c r="AE107"/>
  <c r="AP107"/>
  <c r="Z90"/>
  <c r="AK90"/>
  <c r="AD90"/>
  <c r="AO90"/>
  <c r="Y90"/>
  <c r="AJ90"/>
  <c r="AC90"/>
  <c r="AN90"/>
  <c r="Z93"/>
  <c r="AK93"/>
  <c r="AD93"/>
  <c r="AO93"/>
  <c r="Y93"/>
  <c r="AJ93"/>
  <c r="AC93"/>
  <c r="AN93"/>
  <c r="AA79"/>
  <c r="AL79"/>
  <c r="AE79"/>
  <c r="AP79"/>
  <c r="Z79"/>
  <c r="AK79"/>
  <c r="AD79"/>
  <c r="AO79"/>
  <c r="Z72"/>
  <c r="AK72"/>
  <c r="AD72"/>
  <c r="AO72"/>
  <c r="Y72"/>
  <c r="AJ72"/>
  <c r="AC72"/>
  <c r="AN72"/>
  <c r="Z68"/>
  <c r="AK68"/>
  <c r="AD68"/>
  <c r="AO68"/>
  <c r="Y68"/>
  <c r="AJ68"/>
  <c r="AC68"/>
  <c r="AN68"/>
  <c r="AA61"/>
  <c r="AL61"/>
  <c r="AE61"/>
  <c r="AP61"/>
  <c r="X61"/>
  <c r="AI61"/>
  <c r="Z61"/>
  <c r="AK61"/>
  <c r="AD61"/>
  <c r="AO61"/>
  <c r="Y54"/>
  <c r="AJ54"/>
  <c r="AC54"/>
  <c r="AN54"/>
  <c r="AB54"/>
  <c r="AM54"/>
  <c r="AF54"/>
  <c r="AQ54"/>
  <c r="Y50"/>
  <c r="AJ50"/>
  <c r="AC50"/>
  <c r="AN50"/>
  <c r="AB50"/>
  <c r="AM50"/>
  <c r="AF50"/>
  <c r="AQ50"/>
  <c r="Y46"/>
  <c r="AJ46"/>
  <c r="AC46"/>
  <c r="AN46"/>
  <c r="X46"/>
  <c r="AI46"/>
  <c r="AB46"/>
  <c r="AM46"/>
  <c r="AF46"/>
  <c r="AQ46"/>
  <c r="AF20"/>
  <c r="AQ20"/>
  <c r="X20"/>
  <c r="AI20"/>
  <c r="X45"/>
  <c r="AI45"/>
  <c r="X51"/>
  <c r="AI51"/>
  <c r="X47"/>
  <c r="AI47"/>
  <c r="Z54"/>
  <c r="AK54"/>
  <c r="Z50"/>
  <c r="AK50"/>
  <c r="Z46"/>
  <c r="AK46"/>
  <c r="G55"/>
  <c r="X73"/>
  <c r="AI73"/>
  <c r="AF72"/>
  <c r="AQ72"/>
  <c r="AF68"/>
  <c r="AQ68"/>
  <c r="Y79"/>
  <c r="AJ79"/>
  <c r="X94"/>
  <c r="AI94"/>
  <c r="AB93"/>
  <c r="AM93"/>
  <c r="AB90"/>
  <c r="AM90"/>
  <c r="X107"/>
  <c r="AI107"/>
  <c r="Z107"/>
  <c r="AK107"/>
  <c r="AC111"/>
  <c r="AN111"/>
  <c r="Y125"/>
  <c r="AJ125"/>
  <c r="AC125"/>
  <c r="AN125"/>
  <c r="X125"/>
  <c r="AI125"/>
  <c r="AB125"/>
  <c r="AM125"/>
  <c r="AF125"/>
  <c r="AQ125"/>
  <c r="AB105"/>
  <c r="AM105"/>
  <c r="AF105"/>
  <c r="AQ105"/>
  <c r="AA105"/>
  <c r="AL105"/>
  <c r="AE105"/>
  <c r="AP105"/>
  <c r="X105"/>
  <c r="AI105"/>
  <c r="Z94"/>
  <c r="AK94"/>
  <c r="AD94"/>
  <c r="AO94"/>
  <c r="Y94"/>
  <c r="AJ94"/>
  <c r="AC94"/>
  <c r="AN94"/>
  <c r="AA80"/>
  <c r="AL80"/>
  <c r="AE80"/>
  <c r="AP80"/>
  <c r="Z80"/>
  <c r="AK80"/>
  <c r="AD80"/>
  <c r="AO80"/>
  <c r="X80"/>
  <c r="AI80"/>
  <c r="Z73"/>
  <c r="AK73"/>
  <c r="AD73"/>
  <c r="AO73"/>
  <c r="Y73"/>
  <c r="AJ73"/>
  <c r="AC73"/>
  <c r="AN73"/>
  <c r="Z69"/>
  <c r="AK69"/>
  <c r="AD69"/>
  <c r="AO69"/>
  <c r="Y69"/>
  <c r="AJ69"/>
  <c r="AC69"/>
  <c r="AN69"/>
  <c r="AA58"/>
  <c r="AL58"/>
  <c r="H62"/>
  <c r="AE58"/>
  <c r="AP58"/>
  <c r="Z58"/>
  <c r="AK58"/>
  <c r="AD58"/>
  <c r="AO58"/>
  <c r="AD59"/>
  <c r="AO59"/>
  <c r="K62"/>
  <c r="Y45"/>
  <c r="AJ45"/>
  <c r="AC45"/>
  <c r="AN45"/>
  <c r="AB45"/>
  <c r="AM45"/>
  <c r="AF45"/>
  <c r="AQ45"/>
  <c r="Y51"/>
  <c r="AJ51"/>
  <c r="AC51"/>
  <c r="AN51"/>
  <c r="AB51"/>
  <c r="AM51"/>
  <c r="AF51"/>
  <c r="AQ51"/>
  <c r="Y47"/>
  <c r="AJ47"/>
  <c r="AC47"/>
  <c r="AN47"/>
  <c r="AB47"/>
  <c r="AM47"/>
  <c r="AF47"/>
  <c r="AQ47"/>
  <c r="AA20"/>
  <c r="AL20"/>
  <c r="AA54"/>
  <c r="AL54"/>
  <c r="AA51"/>
  <c r="AL51"/>
  <c r="AA50"/>
  <c r="AL50"/>
  <c r="AA47"/>
  <c r="AL47"/>
  <c r="AA46"/>
  <c r="AL46"/>
  <c r="AA45"/>
  <c r="AL45"/>
  <c r="X58"/>
  <c r="AI58"/>
  <c r="E62"/>
  <c r="AB61"/>
  <c r="AM61"/>
  <c r="AB58"/>
  <c r="AM58"/>
  <c r="AB59"/>
  <c r="AM59"/>
  <c r="I62"/>
  <c r="X68"/>
  <c r="AI68"/>
  <c r="AA73"/>
  <c r="AL73"/>
  <c r="AA72"/>
  <c r="AL72"/>
  <c r="AA69"/>
  <c r="AL69"/>
  <c r="AA68"/>
  <c r="AL68"/>
  <c r="AB80"/>
  <c r="AM80"/>
  <c r="AB79"/>
  <c r="AM79"/>
  <c r="X90"/>
  <c r="AI90"/>
  <c r="AE94"/>
  <c r="AP94"/>
  <c r="AE93"/>
  <c r="AP93"/>
  <c r="AE90"/>
  <c r="AP90"/>
  <c r="AC107"/>
  <c r="AN107"/>
  <c r="AC105"/>
  <c r="AN105"/>
  <c r="AF111"/>
  <c r="AQ111"/>
  <c r="AD125"/>
  <c r="AO125"/>
  <c r="AC59"/>
  <c r="AN59"/>
  <c r="AF59"/>
  <c r="AQ59"/>
  <c r="Z59"/>
  <c r="AK59"/>
  <c r="AE59"/>
  <c r="AP59"/>
  <c r="X81"/>
  <c r="AI81"/>
  <c r="AE81"/>
  <c r="AP81"/>
  <c r="AA81"/>
  <c r="AL81"/>
  <c r="AF81"/>
  <c r="AQ81"/>
  <c r="AD20"/>
  <c r="AO20"/>
  <c r="Z20"/>
  <c r="AK20"/>
  <c r="AC20"/>
  <c r="AN20"/>
  <c r="X19"/>
  <c r="AI19"/>
  <c r="Y19"/>
  <c r="AJ19"/>
  <c r="AD19"/>
  <c r="AO19"/>
  <c r="Z19"/>
  <c r="AK19"/>
  <c r="AC19"/>
  <c r="AN19"/>
  <c r="AE19"/>
  <c r="AP19"/>
  <c r="AF129"/>
  <c r="X129"/>
  <c r="AP129"/>
  <c r="AO129"/>
  <c r="AB129"/>
  <c r="AL129"/>
  <c r="AK129"/>
  <c r="Y129"/>
  <c r="AC129"/>
  <c r="AB123"/>
  <c r="X116"/>
  <c r="AL123"/>
  <c r="AE123"/>
  <c r="AO123"/>
  <c r="AK123"/>
  <c r="X123"/>
  <c r="AF123"/>
  <c r="Y123"/>
  <c r="AC123"/>
  <c r="AB99"/>
  <c r="AP116"/>
  <c r="Y89"/>
  <c r="X89"/>
  <c r="AE77"/>
  <c r="AE84"/>
  <c r="AE110"/>
  <c r="Y116"/>
  <c r="AQ116"/>
  <c r="AP57"/>
  <c r="X57"/>
  <c r="X77"/>
  <c r="AP89"/>
  <c r="AO104"/>
  <c r="AO110"/>
  <c r="AF104"/>
  <c r="AB110"/>
  <c r="AL110"/>
  <c r="AF89"/>
  <c r="AE104"/>
  <c r="AK110"/>
  <c r="AC116"/>
  <c r="AM116"/>
  <c r="X44"/>
  <c r="AF77"/>
  <c r="AO84"/>
  <c r="AB89"/>
  <c r="X104"/>
  <c r="X110"/>
  <c r="AF110"/>
  <c r="AL116"/>
  <c r="AK116"/>
  <c r="AO116"/>
  <c r="Y110"/>
  <c r="AC110"/>
  <c r="AN25"/>
  <c r="AL99"/>
  <c r="AL84"/>
  <c r="AK99"/>
  <c r="AC38"/>
  <c r="AP44"/>
  <c r="AF57"/>
  <c r="AO77"/>
  <c r="AK84"/>
  <c r="AC89"/>
  <c r="X99"/>
  <c r="AF99"/>
  <c r="AP99"/>
  <c r="AB104"/>
  <c r="AL104"/>
  <c r="AB84"/>
  <c r="AF44"/>
  <c r="AA57"/>
  <c r="AC64"/>
  <c r="X84"/>
  <c r="AF84"/>
  <c r="AL89"/>
  <c r="AO99"/>
  <c r="AK104"/>
  <c r="Y104"/>
  <c r="AC104"/>
  <c r="Y99"/>
  <c r="AC99"/>
  <c r="AK89"/>
  <c r="AO89"/>
  <c r="Y84"/>
  <c r="AC84"/>
  <c r="AM38"/>
  <c r="AM64"/>
  <c r="AC44"/>
  <c r="AM44"/>
  <c r="AK25"/>
  <c r="Y38"/>
  <c r="AI38"/>
  <c r="AQ38"/>
  <c r="AL44"/>
  <c r="AO57"/>
  <c r="Y64"/>
  <c r="AI64"/>
  <c r="AQ64"/>
  <c r="AB77"/>
  <c r="AL77"/>
  <c r="AK57"/>
  <c r="AL38"/>
  <c r="AL64"/>
  <c r="AP38"/>
  <c r="Y44"/>
  <c r="AB57"/>
  <c r="AP64"/>
  <c r="AK77"/>
  <c r="Y77"/>
  <c r="AC77"/>
  <c r="AK64"/>
  <c r="AO64"/>
  <c r="Y57"/>
  <c r="AC57"/>
  <c r="AK44"/>
  <c r="AO44"/>
  <c r="AK38"/>
  <c r="AO38"/>
  <c r="Y25"/>
  <c r="AE25"/>
  <c r="AO25"/>
  <c r="AA25"/>
  <c r="AI25"/>
  <c r="AM25"/>
  <c r="AQ25"/>
  <c r="AF17"/>
  <c r="AE17"/>
  <c r="AD17"/>
  <c r="AN17"/>
  <c r="AB17"/>
  <c r="AA17"/>
  <c r="Z17"/>
  <c r="AJ17"/>
  <c r="X17"/>
  <c r="D11"/>
  <c r="D12"/>
  <c r="D10"/>
  <c r="AG10"/>
  <c r="AR10"/>
  <c r="AQ9"/>
  <c r="AP9"/>
  <c r="AD9"/>
  <c r="AN9"/>
  <c r="I9"/>
  <c r="AM9"/>
  <c r="H9"/>
  <c r="AL9"/>
  <c r="G9"/>
  <c r="Z9"/>
  <c r="F9"/>
  <c r="AJ9"/>
  <c r="E9"/>
  <c r="X9"/>
  <c r="M62"/>
  <c r="L62"/>
  <c r="J62"/>
  <c r="G62"/>
  <c r="M82"/>
  <c r="H82"/>
  <c r="E55"/>
  <c r="K55"/>
  <c r="M55"/>
  <c r="H55"/>
  <c r="F55"/>
  <c r="I55"/>
  <c r="J55"/>
  <c r="G82"/>
  <c r="K82"/>
  <c r="I82"/>
  <c r="L82"/>
  <c r="F82"/>
  <c r="I75"/>
  <c r="M75"/>
  <c r="E75"/>
  <c r="L75"/>
  <c r="F75"/>
  <c r="H75"/>
  <c r="K75"/>
  <c r="J75"/>
  <c r="G75"/>
  <c r="X11"/>
  <c r="AI11"/>
  <c r="AG11"/>
  <c r="AR11"/>
  <c r="AR13"/>
  <c r="Y12"/>
  <c r="AJ12"/>
  <c r="AG12"/>
  <c r="AR12"/>
  <c r="AO108"/>
  <c r="K108"/>
  <c r="AM108"/>
  <c r="I108"/>
  <c r="AN114"/>
  <c r="J114"/>
  <c r="AN82"/>
  <c r="AQ97"/>
  <c r="M97"/>
  <c r="AP82"/>
  <c r="AO114"/>
  <c r="K114"/>
  <c r="AL114"/>
  <c r="H114"/>
  <c r="AJ108"/>
  <c r="F108"/>
  <c r="AQ108"/>
  <c r="M108"/>
  <c r="AC11"/>
  <c r="AN11"/>
  <c r="AL108"/>
  <c r="H108"/>
  <c r="AM114"/>
  <c r="I114"/>
  <c r="AK127"/>
  <c r="G127"/>
  <c r="AQ127"/>
  <c r="M127"/>
  <c r="AL97"/>
  <c r="H97"/>
  <c r="AN97"/>
  <c r="J97"/>
  <c r="AK97"/>
  <c r="G97"/>
  <c r="AP114"/>
  <c r="L114"/>
  <c r="AI82"/>
  <c r="AN108"/>
  <c r="J108"/>
  <c r="AP108"/>
  <c r="L108"/>
  <c r="AK108"/>
  <c r="G108"/>
  <c r="AK114"/>
  <c r="G114"/>
  <c r="AJ75"/>
  <c r="AD11"/>
  <c r="AO11"/>
  <c r="AP97"/>
  <c r="L97"/>
  <c r="AI108"/>
  <c r="E108"/>
  <c r="AK82"/>
  <c r="AJ127"/>
  <c r="F127"/>
  <c r="AM75"/>
  <c r="AN75"/>
  <c r="AK75"/>
  <c r="AL82"/>
  <c r="AI97"/>
  <c r="E97"/>
  <c r="AM97"/>
  <c r="I97"/>
  <c r="AO97"/>
  <c r="K97"/>
  <c r="AI114"/>
  <c r="E114"/>
  <c r="AO82"/>
  <c r="AL127"/>
  <c r="H127"/>
  <c r="AN127"/>
  <c r="J127"/>
  <c r="AL75"/>
  <c r="AO75"/>
  <c r="AP75"/>
  <c r="AQ114"/>
  <c r="M114"/>
  <c r="AO127"/>
  <c r="K127"/>
  <c r="Z11"/>
  <c r="AK11"/>
  <c r="AQ82"/>
  <c r="AJ97"/>
  <c r="F97"/>
  <c r="AJ82"/>
  <c r="AM82"/>
  <c r="AI127"/>
  <c r="E127"/>
  <c r="AM127"/>
  <c r="I127"/>
  <c r="AQ75"/>
  <c r="AI75"/>
  <c r="Y11"/>
  <c r="AJ11"/>
  <c r="AF11"/>
  <c r="AQ11"/>
  <c r="AB11"/>
  <c r="AM11"/>
  <c r="AE11"/>
  <c r="AP11"/>
  <c r="AA11"/>
  <c r="AL11"/>
  <c r="AE12"/>
  <c r="AP12"/>
  <c r="AB9"/>
  <c r="AF9"/>
  <c r="AO9"/>
  <c r="AK9"/>
  <c r="AI9"/>
  <c r="AA12"/>
  <c r="AL12"/>
  <c r="AC17"/>
  <c r="AA9"/>
  <c r="AL17"/>
  <c r="AC9"/>
  <c r="Y9"/>
  <c r="Y17"/>
  <c r="AI17"/>
  <c r="AQ17"/>
  <c r="AE9"/>
  <c r="AM17"/>
  <c r="AP17"/>
  <c r="AK17"/>
  <c r="AO17"/>
  <c r="AF12"/>
  <c r="AQ12"/>
  <c r="AB12"/>
  <c r="AM12"/>
  <c r="X12"/>
  <c r="AI12"/>
  <c r="AD12"/>
  <c r="AO12"/>
  <c r="Z12"/>
  <c r="AK12"/>
  <c r="AC12"/>
  <c r="AN12"/>
  <c r="C127"/>
  <c r="AG26"/>
  <c r="AR26"/>
  <c r="AR29"/>
  <c r="AF26"/>
  <c r="AQ26"/>
  <c r="AQ29"/>
  <c r="AE26"/>
  <c r="AP26"/>
  <c r="AP29"/>
  <c r="AD26"/>
  <c r="AO26"/>
  <c r="AO29"/>
  <c r="C108"/>
  <c r="C114"/>
  <c r="C133"/>
  <c r="C102"/>
  <c r="C82"/>
  <c r="C62"/>
  <c r="C120"/>
  <c r="C97"/>
  <c r="C75"/>
  <c r="D18"/>
  <c r="AG18"/>
  <c r="AR18"/>
  <c r="AR21"/>
  <c r="J30"/>
  <c r="Z18"/>
  <c r="AK18"/>
  <c r="AD18"/>
  <c r="AO18"/>
  <c r="AO21"/>
  <c r="AE18"/>
  <c r="AP18"/>
  <c r="AP21"/>
  <c r="Y18"/>
  <c r="AJ18"/>
  <c r="AC18"/>
  <c r="AN18"/>
  <c r="X18"/>
  <c r="AI18"/>
  <c r="AB18"/>
  <c r="AM18"/>
  <c r="AF18"/>
  <c r="AQ18"/>
  <c r="AQ21"/>
  <c r="AA18"/>
  <c r="AL18"/>
  <c r="H21"/>
  <c r="AA10"/>
  <c r="AL10"/>
  <c r="AL13"/>
  <c r="H13"/>
  <c r="AE10"/>
  <c r="AP10"/>
  <c r="AP13"/>
  <c r="Z10"/>
  <c r="AK10"/>
  <c r="AK13"/>
  <c r="G13"/>
  <c r="AD10"/>
  <c r="AO10"/>
  <c r="AO13"/>
  <c r="Y10"/>
  <c r="AJ10"/>
  <c r="AJ13"/>
  <c r="F13"/>
  <c r="F14"/>
  <c r="AC10"/>
  <c r="AN10"/>
  <c r="AN13"/>
  <c r="J13"/>
  <c r="X10"/>
  <c r="AI10"/>
  <c r="AI13"/>
  <c r="E13"/>
  <c r="AB10"/>
  <c r="AM10"/>
  <c r="AM13"/>
  <c r="I13"/>
  <c r="AF10"/>
  <c r="AQ10"/>
  <c r="AQ13"/>
  <c r="AJ21"/>
  <c r="F21"/>
  <c r="AI21"/>
  <c r="E21"/>
  <c r="AM21"/>
  <c r="I21"/>
  <c r="AN21"/>
  <c r="J21"/>
  <c r="AK21"/>
  <c r="G21"/>
  <c r="AL21"/>
  <c r="J14"/>
  <c r="G14"/>
  <c r="E14"/>
  <c r="F30"/>
  <c r="G30"/>
  <c r="E22"/>
  <c r="F22"/>
  <c r="J22"/>
  <c r="G22"/>
  <c r="E30"/>
  <c r="I14"/>
  <c r="H14"/>
  <c r="I30"/>
  <c r="H30"/>
  <c r="I22"/>
  <c r="H22"/>
  <c r="F6" i="9"/>
  <c r="F7"/>
  <c r="AG7"/>
  <c r="E7"/>
  <c r="AR7"/>
  <c r="F5"/>
  <c r="AG5"/>
  <c r="AG6"/>
  <c r="E6"/>
  <c r="AR6"/>
  <c r="P4"/>
  <c r="AG4"/>
  <c r="AR4"/>
  <c r="Z6"/>
  <c r="AK6"/>
  <c r="Z7"/>
  <c r="AK7"/>
  <c r="AA7"/>
  <c r="AL7"/>
  <c r="Y6"/>
  <c r="AA6"/>
  <c r="AL6"/>
  <c r="AB6"/>
  <c r="AC6"/>
  <c r="AD6"/>
  <c r="AE6"/>
  <c r="AP6"/>
  <c r="AF6"/>
  <c r="Y7"/>
  <c r="AB7"/>
  <c r="AM7"/>
  <c r="AC7"/>
  <c r="AD7"/>
  <c r="AE7"/>
  <c r="AP7"/>
  <c r="AF7"/>
  <c r="AQ7"/>
  <c r="X6"/>
  <c r="X7"/>
  <c r="Y5"/>
  <c r="O4"/>
  <c r="AQ4"/>
  <c r="N4"/>
  <c r="AE4"/>
  <c r="M4"/>
  <c r="AO4"/>
  <c r="L4"/>
  <c r="AN4"/>
  <c r="K4"/>
  <c r="AM4"/>
  <c r="J4"/>
  <c r="AL4"/>
  <c r="I4"/>
  <c r="Z4"/>
  <c r="H4"/>
  <c r="AJ4"/>
  <c r="G4"/>
  <c r="AI4"/>
  <c r="AK4"/>
  <c r="AF4"/>
  <c r="X4"/>
  <c r="Y4"/>
  <c r="AB4"/>
  <c r="AC4"/>
  <c r="AD4"/>
  <c r="AP4"/>
  <c r="AA4"/>
  <c r="AQ6"/>
  <c r="AI6"/>
  <c r="AN7"/>
  <c r="AJ7"/>
  <c r="AN6"/>
  <c r="AJ6"/>
  <c r="AM6"/>
  <c r="AI7"/>
  <c r="AO7"/>
  <c r="AO6"/>
  <c r="X5"/>
  <c r="AE5"/>
  <c r="AA5"/>
  <c r="AF5"/>
  <c r="AB5"/>
  <c r="AD5"/>
  <c r="Z5"/>
  <c r="AC5"/>
  <c r="E5"/>
  <c r="AR5"/>
  <c r="AR8"/>
  <c r="P8"/>
  <c r="AK5"/>
  <c r="AK8"/>
  <c r="I8"/>
  <c r="AO5"/>
  <c r="AO8"/>
  <c r="M8"/>
  <c r="AM5"/>
  <c r="AM8"/>
  <c r="K8"/>
  <c r="AL5"/>
  <c r="AL8"/>
  <c r="J8"/>
  <c r="AI5"/>
  <c r="AI8"/>
  <c r="G8"/>
  <c r="AJ5"/>
  <c r="AJ8"/>
  <c r="H8"/>
  <c r="AN5"/>
  <c r="AN8"/>
  <c r="L8"/>
  <c r="AQ5"/>
  <c r="AQ8"/>
  <c r="O8"/>
  <c r="E8"/>
  <c r="AP5"/>
  <c r="AP8"/>
  <c r="N8"/>
  <c r="F13" i="2"/>
  <c r="AB13"/>
  <c r="AF13"/>
  <c r="AJ13"/>
  <c r="F14"/>
  <c r="AD14"/>
  <c r="AE14"/>
  <c r="AH14"/>
  <c r="AI14"/>
  <c r="F15"/>
  <c r="AB15"/>
  <c r="AC15"/>
  <c r="AF15"/>
  <c r="AG15"/>
  <c r="AJ15"/>
  <c r="AK15"/>
  <c r="E15"/>
  <c r="AV15"/>
  <c r="F17"/>
  <c r="AB17"/>
  <c r="AF17"/>
  <c r="AJ17"/>
  <c r="F18"/>
  <c r="AD18"/>
  <c r="AE18"/>
  <c r="AH18"/>
  <c r="AI18"/>
  <c r="F19"/>
  <c r="AB19"/>
  <c r="AC19"/>
  <c r="AF19"/>
  <c r="AG19"/>
  <c r="AJ19"/>
  <c r="AK19"/>
  <c r="E19"/>
  <c r="AV19"/>
  <c r="F21"/>
  <c r="AB21"/>
  <c r="AF21"/>
  <c r="AJ21"/>
  <c r="F22"/>
  <c r="AD22"/>
  <c r="AE22"/>
  <c r="AH22"/>
  <c r="AI22"/>
  <c r="F23"/>
  <c r="AB23"/>
  <c r="AC23"/>
  <c r="AF23"/>
  <c r="AG23"/>
  <c r="AJ23"/>
  <c r="AK23"/>
  <c r="E23"/>
  <c r="AV23"/>
  <c r="F25"/>
  <c r="AC25"/>
  <c r="AG25"/>
  <c r="AK25"/>
  <c r="E25"/>
  <c r="AV25"/>
  <c r="F41"/>
  <c r="AE41"/>
  <c r="E41"/>
  <c r="AP41"/>
  <c r="AI41"/>
  <c r="AT41"/>
  <c r="F45"/>
  <c r="AE45"/>
  <c r="E45"/>
  <c r="AP45"/>
  <c r="AI45"/>
  <c r="AT45"/>
  <c r="F49"/>
  <c r="AE49"/>
  <c r="E49"/>
  <c r="AP49"/>
  <c r="AI49"/>
  <c r="AT49"/>
  <c r="F39"/>
  <c r="AD39"/>
  <c r="E39"/>
  <c r="AO39"/>
  <c r="AF39"/>
  <c r="AQ39"/>
  <c r="AH39"/>
  <c r="AS39"/>
  <c r="AJ39"/>
  <c r="AU39"/>
  <c r="AD41"/>
  <c r="AO41"/>
  <c r="AF41"/>
  <c r="AQ41"/>
  <c r="AH41"/>
  <c r="AS41"/>
  <c r="AJ41"/>
  <c r="AU41"/>
  <c r="F43"/>
  <c r="AD43"/>
  <c r="E43"/>
  <c r="AO43"/>
  <c r="AF43"/>
  <c r="AQ43"/>
  <c r="AH43"/>
  <c r="AS43"/>
  <c r="AJ43"/>
  <c r="AU43"/>
  <c r="F44"/>
  <c r="AE44"/>
  <c r="E44"/>
  <c r="AP44"/>
  <c r="AI44"/>
  <c r="AT44"/>
  <c r="AD45"/>
  <c r="AO45"/>
  <c r="AF45"/>
  <c r="AQ45"/>
  <c r="AH45"/>
  <c r="AS45"/>
  <c r="AJ45"/>
  <c r="AU45"/>
  <c r="F47"/>
  <c r="AD47"/>
  <c r="E47"/>
  <c r="AO47"/>
  <c r="AF47"/>
  <c r="AQ47"/>
  <c r="AH47"/>
  <c r="AS47"/>
  <c r="AJ47"/>
  <c r="AU47"/>
  <c r="F48"/>
  <c r="AE48"/>
  <c r="E48"/>
  <c r="AP48"/>
  <c r="AI48"/>
  <c r="AT48"/>
  <c r="AD49"/>
  <c r="AO49"/>
  <c r="AF49"/>
  <c r="AQ49"/>
  <c r="AH49"/>
  <c r="AS49"/>
  <c r="AJ49"/>
  <c r="AU49"/>
  <c r="F40"/>
  <c r="AB40"/>
  <c r="E40"/>
  <c r="AM40"/>
  <c r="AB41"/>
  <c r="AM41"/>
  <c r="AB44"/>
  <c r="AM44"/>
  <c r="AB45"/>
  <c r="AM45"/>
  <c r="AB48"/>
  <c r="AM48"/>
  <c r="AB49"/>
  <c r="AM49"/>
  <c r="F66"/>
  <c r="AK66"/>
  <c r="F67"/>
  <c r="AK67"/>
  <c r="F68"/>
  <c r="AK68"/>
  <c r="F69"/>
  <c r="AK69"/>
  <c r="F70"/>
  <c r="AK70"/>
  <c r="F71"/>
  <c r="AK71"/>
  <c r="F72"/>
  <c r="AK72"/>
  <c r="F73"/>
  <c r="AK73"/>
  <c r="F74"/>
  <c r="AK74"/>
  <c r="F75"/>
  <c r="AK75"/>
  <c r="F76"/>
  <c r="AK76"/>
  <c r="F77"/>
  <c r="AK77"/>
  <c r="F78"/>
  <c r="AK78"/>
  <c r="E78"/>
  <c r="AV78"/>
  <c r="F79"/>
  <c r="AK79"/>
  <c r="E79"/>
  <c r="AV79"/>
  <c r="F80"/>
  <c r="AK80"/>
  <c r="E80"/>
  <c r="AV80"/>
  <c r="F81"/>
  <c r="AK81"/>
  <c r="E81"/>
  <c r="AV81"/>
  <c r="F82"/>
  <c r="AK82"/>
  <c r="E82"/>
  <c r="AV82"/>
  <c r="F83"/>
  <c r="AK83"/>
  <c r="E83"/>
  <c r="AV83"/>
  <c r="F84"/>
  <c r="AK84"/>
  <c r="E84"/>
  <c r="AV84"/>
  <c r="F85"/>
  <c r="AK85"/>
  <c r="E85"/>
  <c r="AV85"/>
  <c r="F65"/>
  <c r="AK65"/>
  <c r="P64"/>
  <c r="AK64"/>
  <c r="F33"/>
  <c r="AE33"/>
  <c r="F34"/>
  <c r="AD34"/>
  <c r="F35"/>
  <c r="AC35"/>
  <c r="F36"/>
  <c r="AF36"/>
  <c r="F37"/>
  <c r="AE37"/>
  <c r="F38"/>
  <c r="AD38"/>
  <c r="E38"/>
  <c r="AO38"/>
  <c r="AC39"/>
  <c r="AN39"/>
  <c r="AF40"/>
  <c r="AQ40"/>
  <c r="AC41"/>
  <c r="AN41"/>
  <c r="F42"/>
  <c r="AD42"/>
  <c r="E42"/>
  <c r="AO42"/>
  <c r="AC43"/>
  <c r="AN43"/>
  <c r="AF44"/>
  <c r="AQ44"/>
  <c r="AC45"/>
  <c r="AN45"/>
  <c r="F46"/>
  <c r="AD46"/>
  <c r="E46"/>
  <c r="AO46"/>
  <c r="AC47"/>
  <c r="AN47"/>
  <c r="AF48"/>
  <c r="AQ48"/>
  <c r="AC49"/>
  <c r="AN49"/>
  <c r="F50"/>
  <c r="AD50"/>
  <c r="E50"/>
  <c r="AO50"/>
  <c r="F32"/>
  <c r="AC32"/>
  <c r="P31"/>
  <c r="AK31"/>
  <c r="F8"/>
  <c r="AB8"/>
  <c r="F9"/>
  <c r="AD9"/>
  <c r="F10"/>
  <c r="AB10"/>
  <c r="F11"/>
  <c r="AD11"/>
  <c r="F12"/>
  <c r="AB12"/>
  <c r="AD13"/>
  <c r="AB14"/>
  <c r="AD15"/>
  <c r="F16"/>
  <c r="AB16"/>
  <c r="AD17"/>
  <c r="AB18"/>
  <c r="AD19"/>
  <c r="F20"/>
  <c r="AB20"/>
  <c r="AD21"/>
  <c r="AB22"/>
  <c r="AD23"/>
  <c r="F24"/>
  <c r="AB24"/>
  <c r="AE25"/>
  <c r="F7"/>
  <c r="AC7"/>
  <c r="P6"/>
  <c r="AV6"/>
  <c r="AB36"/>
  <c r="AH37"/>
  <c r="AF11"/>
  <c r="AK11"/>
  <c r="AC11"/>
  <c r="AI37"/>
  <c r="AB37"/>
  <c r="AJ37"/>
  <c r="AD37"/>
  <c r="AF37"/>
  <c r="AH35"/>
  <c r="AJ35"/>
  <c r="AF35"/>
  <c r="AD35"/>
  <c r="AH33"/>
  <c r="AB33"/>
  <c r="AJ33"/>
  <c r="AF33"/>
  <c r="AD33"/>
  <c r="AG11"/>
  <c r="AJ11"/>
  <c r="AB11"/>
  <c r="AE10"/>
  <c r="AI10"/>
  <c r="AH10"/>
  <c r="AD10"/>
  <c r="AJ9"/>
  <c r="AF9"/>
  <c r="AB9"/>
  <c r="AE32"/>
  <c r="AK6"/>
  <c r="AI32"/>
  <c r="AV31"/>
  <c r="AI7"/>
  <c r="AB50"/>
  <c r="AM50"/>
  <c r="AB46"/>
  <c r="AM46"/>
  <c r="AB42"/>
  <c r="AM42"/>
  <c r="AC42"/>
  <c r="AN42"/>
  <c r="AE42"/>
  <c r="AP42"/>
  <c r="AF42"/>
  <c r="AQ42"/>
  <c r="AG42"/>
  <c r="AR42"/>
  <c r="AH42"/>
  <c r="AS42"/>
  <c r="AI42"/>
  <c r="AT42"/>
  <c r="AJ42"/>
  <c r="AU42"/>
  <c r="AW42"/>
  <c r="AB38"/>
  <c r="AM38"/>
  <c r="AB34"/>
  <c r="AI50"/>
  <c r="AT50"/>
  <c r="AE50"/>
  <c r="AP50"/>
  <c r="AK48"/>
  <c r="AV48"/>
  <c r="AG48"/>
  <c r="AR48"/>
  <c r="AC48"/>
  <c r="AN48"/>
  <c r="AI46"/>
  <c r="AT46"/>
  <c r="AE46"/>
  <c r="AP46"/>
  <c r="AK44"/>
  <c r="AV44"/>
  <c r="AG44"/>
  <c r="AR44"/>
  <c r="AC44"/>
  <c r="AN44"/>
  <c r="AK40"/>
  <c r="AV40"/>
  <c r="AG40"/>
  <c r="AR40"/>
  <c r="AC40"/>
  <c r="AN40"/>
  <c r="AI38"/>
  <c r="AT38"/>
  <c r="AE38"/>
  <c r="AP38"/>
  <c r="AK36"/>
  <c r="AG36"/>
  <c r="AC36"/>
  <c r="AI34"/>
  <c r="AE34"/>
  <c r="AB47"/>
  <c r="AM47"/>
  <c r="AB43"/>
  <c r="AM43"/>
  <c r="AB39"/>
  <c r="AM39"/>
  <c r="AB35"/>
  <c r="AJ50"/>
  <c r="AU50"/>
  <c r="AF50"/>
  <c r="AQ50"/>
  <c r="AK49"/>
  <c r="AV49"/>
  <c r="AG49"/>
  <c r="AR49"/>
  <c r="AW49"/>
  <c r="AH48"/>
  <c r="AS48"/>
  <c r="AD48"/>
  <c r="AO48"/>
  <c r="AI47"/>
  <c r="AT47"/>
  <c r="AE47"/>
  <c r="AP47"/>
  <c r="AG47"/>
  <c r="AR47"/>
  <c r="AW47"/>
  <c r="AJ46"/>
  <c r="AU46"/>
  <c r="AF46"/>
  <c r="AQ46"/>
  <c r="AK45"/>
  <c r="AV45"/>
  <c r="AG45"/>
  <c r="AR45"/>
  <c r="AW45"/>
  <c r="AH44"/>
  <c r="AS44"/>
  <c r="AD44"/>
  <c r="AO44"/>
  <c r="AI43"/>
  <c r="AT43"/>
  <c r="AE43"/>
  <c r="AP43"/>
  <c r="AG43"/>
  <c r="AR43"/>
  <c r="AW43"/>
  <c r="AK41"/>
  <c r="AV41"/>
  <c r="AG41"/>
  <c r="AR41"/>
  <c r="AW41"/>
  <c r="AH40"/>
  <c r="AS40"/>
  <c r="AD40"/>
  <c r="AO40"/>
  <c r="AI39"/>
  <c r="AT39"/>
  <c r="AE39"/>
  <c r="AP39"/>
  <c r="AG39"/>
  <c r="AR39"/>
  <c r="AW39"/>
  <c r="AJ38"/>
  <c r="AU38"/>
  <c r="AF38"/>
  <c r="AQ38"/>
  <c r="AK37"/>
  <c r="AG37"/>
  <c r="AC37"/>
  <c r="AH36"/>
  <c r="AD36"/>
  <c r="AI35"/>
  <c r="AE35"/>
  <c r="AJ34"/>
  <c r="AF34"/>
  <c r="AK33"/>
  <c r="AG33"/>
  <c r="AC33"/>
  <c r="AK50"/>
  <c r="AV50"/>
  <c r="AG50"/>
  <c r="AR50"/>
  <c r="AC50"/>
  <c r="AN50"/>
  <c r="AK46"/>
  <c r="AV46"/>
  <c r="AG46"/>
  <c r="AR46"/>
  <c r="AC46"/>
  <c r="AN46"/>
  <c r="AK42"/>
  <c r="AV42"/>
  <c r="AI40"/>
  <c r="AT40"/>
  <c r="AE40"/>
  <c r="AP40"/>
  <c r="AK38"/>
  <c r="AV38"/>
  <c r="AG38"/>
  <c r="AR38"/>
  <c r="AC38"/>
  <c r="AN38"/>
  <c r="AI36"/>
  <c r="AE36"/>
  <c r="AK34"/>
  <c r="AG34"/>
  <c r="AC34"/>
  <c r="AH50"/>
  <c r="AS50"/>
  <c r="AJ48"/>
  <c r="AU48"/>
  <c r="AK47"/>
  <c r="AV47"/>
  <c r="AH46"/>
  <c r="AS46"/>
  <c r="AJ44"/>
  <c r="AU44"/>
  <c r="AK43"/>
  <c r="AV43"/>
  <c r="AJ40"/>
  <c r="AU40"/>
  <c r="AK39"/>
  <c r="AV39"/>
  <c r="AH38"/>
  <c r="AS38"/>
  <c r="AJ36"/>
  <c r="AK35"/>
  <c r="AG35"/>
  <c r="AH34"/>
  <c r="AI33"/>
  <c r="AJ32"/>
  <c r="AF32"/>
  <c r="AH32"/>
  <c r="AD32"/>
  <c r="AK32"/>
  <c r="AG32"/>
  <c r="AH24"/>
  <c r="AH20"/>
  <c r="AD20"/>
  <c r="AH16"/>
  <c r="AD16"/>
  <c r="AH12"/>
  <c r="AD12"/>
  <c r="AH8"/>
  <c r="AD8"/>
  <c r="AH25"/>
  <c r="AI24"/>
  <c r="AK21"/>
  <c r="E21"/>
  <c r="AV21"/>
  <c r="AC21"/>
  <c r="AI20"/>
  <c r="AE20"/>
  <c r="AK17"/>
  <c r="E17"/>
  <c r="AV17"/>
  <c r="AG17"/>
  <c r="AI16"/>
  <c r="AE16"/>
  <c r="AK13"/>
  <c r="E13"/>
  <c r="AV13"/>
  <c r="AG13"/>
  <c r="AC13"/>
  <c r="AI12"/>
  <c r="AE12"/>
  <c r="AK9"/>
  <c r="AG9"/>
  <c r="AC9"/>
  <c r="AI8"/>
  <c r="AE8"/>
  <c r="AJ25"/>
  <c r="AF25"/>
  <c r="AK24"/>
  <c r="E24"/>
  <c r="AV24"/>
  <c r="AG24"/>
  <c r="AC24"/>
  <c r="AI23"/>
  <c r="AE23"/>
  <c r="AK22"/>
  <c r="E22"/>
  <c r="AV22"/>
  <c r="AG22"/>
  <c r="AC22"/>
  <c r="AI21"/>
  <c r="AE21"/>
  <c r="AK20"/>
  <c r="E20"/>
  <c r="AV20"/>
  <c r="AG20"/>
  <c r="AC20"/>
  <c r="AI19"/>
  <c r="AE19"/>
  <c r="AK18"/>
  <c r="E18"/>
  <c r="AV18"/>
  <c r="AG18"/>
  <c r="AC18"/>
  <c r="AI17"/>
  <c r="AE17"/>
  <c r="AK16"/>
  <c r="E16"/>
  <c r="AV16"/>
  <c r="AG16"/>
  <c r="AC16"/>
  <c r="AI15"/>
  <c r="AE15"/>
  <c r="AK14"/>
  <c r="E14"/>
  <c r="AV14"/>
  <c r="AG14"/>
  <c r="AC14"/>
  <c r="AI13"/>
  <c r="AE13"/>
  <c r="AK12"/>
  <c r="AG12"/>
  <c r="AC12"/>
  <c r="AI11"/>
  <c r="AE11"/>
  <c r="AK10"/>
  <c r="AG10"/>
  <c r="AC10"/>
  <c r="AI9"/>
  <c r="AE9"/>
  <c r="AK8"/>
  <c r="AG8"/>
  <c r="AC8"/>
  <c r="AD24"/>
  <c r="AD25"/>
  <c r="AE24"/>
  <c r="AG21"/>
  <c r="AC17"/>
  <c r="AI25"/>
  <c r="AJ24"/>
  <c r="AF24"/>
  <c r="AH23"/>
  <c r="AJ22"/>
  <c r="AF22"/>
  <c r="AH21"/>
  <c r="AJ20"/>
  <c r="AF20"/>
  <c r="AH19"/>
  <c r="AJ18"/>
  <c r="AF18"/>
  <c r="AH17"/>
  <c r="AJ16"/>
  <c r="AF16"/>
  <c r="AH15"/>
  <c r="AJ14"/>
  <c r="AF14"/>
  <c r="AH13"/>
  <c r="AJ12"/>
  <c r="AF12"/>
  <c r="AH11"/>
  <c r="AJ10"/>
  <c r="AF10"/>
  <c r="AH9"/>
  <c r="AJ8"/>
  <c r="AF8"/>
  <c r="AD7"/>
  <c r="AH7"/>
  <c r="AE7"/>
  <c r="AV64"/>
  <c r="AJ7"/>
  <c r="AF7"/>
  <c r="AB7"/>
  <c r="AK7"/>
  <c r="AG7"/>
  <c r="AW46"/>
  <c r="AW38"/>
  <c r="AW40"/>
  <c r="AW44"/>
  <c r="AW48"/>
  <c r="AW50"/>
  <c r="AQ13"/>
  <c r="AP14"/>
  <c r="AM13"/>
  <c r="AO13"/>
  <c r="AP13"/>
  <c r="AS13"/>
  <c r="AT13"/>
  <c r="AU13"/>
  <c r="AN14"/>
  <c r="AO14"/>
  <c r="AR14"/>
  <c r="AS14"/>
  <c r="AT14"/>
  <c r="AB25"/>
  <c r="AB66"/>
  <c r="AC66"/>
  <c r="AD66"/>
  <c r="AE66"/>
  <c r="AF66"/>
  <c r="AG66"/>
  <c r="AH66"/>
  <c r="AI66"/>
  <c r="AJ66"/>
  <c r="AB67"/>
  <c r="AC67"/>
  <c r="AD67"/>
  <c r="AE67"/>
  <c r="AF67"/>
  <c r="AG67"/>
  <c r="AH67"/>
  <c r="AI67"/>
  <c r="AJ67"/>
  <c r="AB68"/>
  <c r="AC68"/>
  <c r="AD68"/>
  <c r="AE68"/>
  <c r="AF68"/>
  <c r="AG68"/>
  <c r="AH68"/>
  <c r="AI68"/>
  <c r="AJ68"/>
  <c r="AB69"/>
  <c r="AC69"/>
  <c r="AD69"/>
  <c r="AE69"/>
  <c r="AF69"/>
  <c r="AG69"/>
  <c r="AH69"/>
  <c r="AI69"/>
  <c r="AJ69"/>
  <c r="AB70"/>
  <c r="AC70"/>
  <c r="AD70"/>
  <c r="AE70"/>
  <c r="AF70"/>
  <c r="AG70"/>
  <c r="AH70"/>
  <c r="AI70"/>
  <c r="AJ70"/>
  <c r="AB71"/>
  <c r="AC71"/>
  <c r="AD71"/>
  <c r="AE71"/>
  <c r="AF71"/>
  <c r="AG71"/>
  <c r="AH71"/>
  <c r="AI71"/>
  <c r="AJ71"/>
  <c r="AB72"/>
  <c r="AC72"/>
  <c r="AD72"/>
  <c r="AE72"/>
  <c r="AF72"/>
  <c r="AG72"/>
  <c r="AH72"/>
  <c r="AI72"/>
  <c r="AJ72"/>
  <c r="AB73"/>
  <c r="AC73"/>
  <c r="AD73"/>
  <c r="AE73"/>
  <c r="AF73"/>
  <c r="AG73"/>
  <c r="AH73"/>
  <c r="AI73"/>
  <c r="AJ73"/>
  <c r="AB74"/>
  <c r="AC74"/>
  <c r="AD74"/>
  <c r="AE74"/>
  <c r="AF74"/>
  <c r="AG74"/>
  <c r="AH74"/>
  <c r="AI74"/>
  <c r="AJ74"/>
  <c r="AB75"/>
  <c r="AC75"/>
  <c r="AD75"/>
  <c r="AE75"/>
  <c r="AF75"/>
  <c r="AG75"/>
  <c r="AH75"/>
  <c r="AI75"/>
  <c r="AJ75"/>
  <c r="AB76"/>
  <c r="AC76"/>
  <c r="AD76"/>
  <c r="AE76"/>
  <c r="AF76"/>
  <c r="AG76"/>
  <c r="AH76"/>
  <c r="AI76"/>
  <c r="AJ76"/>
  <c r="AB77"/>
  <c r="AC77"/>
  <c r="AD77"/>
  <c r="AE77"/>
  <c r="AF77"/>
  <c r="AG77"/>
  <c r="AH77"/>
  <c r="AI77"/>
  <c r="AJ77"/>
  <c r="AB78"/>
  <c r="AC78"/>
  <c r="AD78"/>
  <c r="AE78"/>
  <c r="AF78"/>
  <c r="AG78"/>
  <c r="AH78"/>
  <c r="AI78"/>
  <c r="AJ78"/>
  <c r="AB79"/>
  <c r="AC79"/>
  <c r="AD79"/>
  <c r="AE79"/>
  <c r="AF79"/>
  <c r="AG79"/>
  <c r="AH79"/>
  <c r="AI79"/>
  <c r="AJ79"/>
  <c r="AB80"/>
  <c r="AC80"/>
  <c r="AD80"/>
  <c r="AE80"/>
  <c r="AF80"/>
  <c r="AG80"/>
  <c r="AH80"/>
  <c r="AI80"/>
  <c r="AJ80"/>
  <c r="AB81"/>
  <c r="AC81"/>
  <c r="AD81"/>
  <c r="AE81"/>
  <c r="AF81"/>
  <c r="AG81"/>
  <c r="AH81"/>
  <c r="AI81"/>
  <c r="AJ81"/>
  <c r="AB82"/>
  <c r="AC82"/>
  <c r="AD82"/>
  <c r="AE82"/>
  <c r="AF82"/>
  <c r="AG82"/>
  <c r="AH82"/>
  <c r="AI82"/>
  <c r="AJ82"/>
  <c r="AB83"/>
  <c r="AC83"/>
  <c r="AD83"/>
  <c r="AE83"/>
  <c r="AF83"/>
  <c r="AG83"/>
  <c r="AH83"/>
  <c r="AI83"/>
  <c r="AJ83"/>
  <c r="AB84"/>
  <c r="AC84"/>
  <c r="AD84"/>
  <c r="AE84"/>
  <c r="AF84"/>
  <c r="AG84"/>
  <c r="AH84"/>
  <c r="AI84"/>
  <c r="AJ84"/>
  <c r="AB85"/>
  <c r="AC85"/>
  <c r="AD85"/>
  <c r="AE85"/>
  <c r="AF85"/>
  <c r="AG85"/>
  <c r="AH85"/>
  <c r="AI85"/>
  <c r="AJ85"/>
  <c r="E10"/>
  <c r="AV10"/>
  <c r="E11"/>
  <c r="AV11"/>
  <c r="E12"/>
  <c r="E36"/>
  <c r="E37"/>
  <c r="E68"/>
  <c r="AV68"/>
  <c r="E69"/>
  <c r="AV69"/>
  <c r="E70"/>
  <c r="AV70"/>
  <c r="E71"/>
  <c r="AV71"/>
  <c r="E72"/>
  <c r="AV72"/>
  <c r="E73"/>
  <c r="AV73"/>
  <c r="E64"/>
  <c r="E31"/>
  <c r="E6"/>
  <c r="O64"/>
  <c r="AJ64"/>
  <c r="N64"/>
  <c r="AI64"/>
  <c r="M64"/>
  <c r="AS64"/>
  <c r="L64"/>
  <c r="AR64"/>
  <c r="K64"/>
  <c r="AQ64"/>
  <c r="J64"/>
  <c r="AP64"/>
  <c r="I64"/>
  <c r="AO64"/>
  <c r="H64"/>
  <c r="AC64"/>
  <c r="G64"/>
  <c r="AM64"/>
  <c r="O31"/>
  <c r="AU31"/>
  <c r="N31"/>
  <c r="AT31"/>
  <c r="M31"/>
  <c r="AS31"/>
  <c r="L31"/>
  <c r="AR31"/>
  <c r="K31"/>
  <c r="AQ31"/>
  <c r="J31"/>
  <c r="AE31"/>
  <c r="I31"/>
  <c r="AD31"/>
  <c r="H31"/>
  <c r="AC31"/>
  <c r="G31"/>
  <c r="AB31"/>
  <c r="O6"/>
  <c r="AU6"/>
  <c r="N6"/>
  <c r="AI6"/>
  <c r="M6"/>
  <c r="AS6"/>
  <c r="L6"/>
  <c r="AG6"/>
  <c r="K6"/>
  <c r="AF6"/>
  <c r="J6"/>
  <c r="AE6"/>
  <c r="I6"/>
  <c r="AO6"/>
  <c r="H6"/>
  <c r="AC6"/>
  <c r="G6"/>
  <c r="AB6"/>
  <c r="AR73"/>
  <c r="AO73"/>
  <c r="AT68"/>
  <c r="AN73"/>
  <c r="AS70"/>
  <c r="AO70"/>
  <c r="AT69"/>
  <c r="AP10"/>
  <c r="AR10"/>
  <c r="AQ11"/>
  <c r="AP73"/>
  <c r="AS73"/>
  <c r="AP72"/>
  <c r="AQ72"/>
  <c r="AT72"/>
  <c r="AU71"/>
  <c r="AQ71"/>
  <c r="AM71"/>
  <c r="AR71"/>
  <c r="AN71"/>
  <c r="AT71"/>
  <c r="AP71"/>
  <c r="AU70"/>
  <c r="AQ70"/>
  <c r="AM70"/>
  <c r="AR70"/>
  <c r="AN70"/>
  <c r="AR69"/>
  <c r="AN69"/>
  <c r="AS69"/>
  <c r="AO69"/>
  <c r="AM68"/>
  <c r="AU68"/>
  <c r="AP68"/>
  <c r="AT37"/>
  <c r="AM37"/>
  <c r="AO37"/>
  <c r="AU37"/>
  <c r="AS37"/>
  <c r="AQ37"/>
  <c r="AP37"/>
  <c r="AV37"/>
  <c r="AN37"/>
  <c r="AR37"/>
  <c r="AM36"/>
  <c r="AQ36"/>
  <c r="AU36"/>
  <c r="AN36"/>
  <c r="AS36"/>
  <c r="AT36"/>
  <c r="AV36"/>
  <c r="AO36"/>
  <c r="AR36"/>
  <c r="AP36"/>
  <c r="AR12"/>
  <c r="AV12"/>
  <c r="AN12"/>
  <c r="AS11"/>
  <c r="AO11"/>
  <c r="AU11"/>
  <c r="AN11"/>
  <c r="AR11"/>
  <c r="AM11"/>
  <c r="AS10"/>
  <c r="AN10"/>
  <c r="AT10"/>
  <c r="AO10"/>
  <c r="AM31"/>
  <c r="AQ68"/>
  <c r="AT73"/>
  <c r="AP69"/>
  <c r="AM72"/>
  <c r="AU72"/>
  <c r="AS72"/>
  <c r="AO72"/>
  <c r="AS68"/>
  <c r="AO68"/>
  <c r="AU12"/>
  <c r="AQ12"/>
  <c r="AM12"/>
  <c r="AP12"/>
  <c r="AU73"/>
  <c r="AQ73"/>
  <c r="AM73"/>
  <c r="AR72"/>
  <c r="AN72"/>
  <c r="AS71"/>
  <c r="AO71"/>
  <c r="AT70"/>
  <c r="AP70"/>
  <c r="AU69"/>
  <c r="AQ69"/>
  <c r="AM69"/>
  <c r="AR68"/>
  <c r="AN68"/>
  <c r="AU14"/>
  <c r="AQ14"/>
  <c r="AM14"/>
  <c r="AR13"/>
  <c r="AN13"/>
  <c r="AS12"/>
  <c r="AO12"/>
  <c r="AT11"/>
  <c r="AP11"/>
  <c r="AU10"/>
  <c r="AQ10"/>
  <c r="AM10"/>
  <c r="AT12"/>
  <c r="AJ6"/>
  <c r="AG31"/>
  <c r="AU64"/>
  <c r="AN6"/>
  <c r="AN31"/>
  <c r="AJ31"/>
  <c r="AF64"/>
  <c r="AD6"/>
  <c r="AG64"/>
  <c r="AN64"/>
  <c r="AM6"/>
  <c r="AF31"/>
  <c r="AB64"/>
  <c r="AD64"/>
  <c r="AO31"/>
  <c r="AP6"/>
  <c r="AP31"/>
  <c r="AE64"/>
  <c r="AR6"/>
  <c r="AH6"/>
  <c r="AH31"/>
  <c r="AH64"/>
  <c r="AT6"/>
  <c r="AI31"/>
  <c r="AT64"/>
  <c r="AQ6"/>
  <c r="AW73"/>
  <c r="AX73"/>
  <c r="AW71"/>
  <c r="AX71"/>
  <c r="AW70"/>
  <c r="AX70"/>
  <c r="AW69"/>
  <c r="AX69"/>
  <c r="AW37"/>
  <c r="AW36"/>
  <c r="AW68"/>
  <c r="AX68"/>
  <c r="AW72"/>
  <c r="AX72"/>
  <c r="AQ84"/>
  <c r="AP84"/>
  <c r="AT84"/>
  <c r="AO84"/>
  <c r="AR84"/>
  <c r="AU84"/>
  <c r="AN84"/>
  <c r="AS84"/>
  <c r="AM84"/>
  <c r="AT81"/>
  <c r="AS81"/>
  <c r="AO81"/>
  <c r="AP81"/>
  <c r="AM81"/>
  <c r="AR81"/>
  <c r="AN81"/>
  <c r="AQ81"/>
  <c r="AU81"/>
  <c r="AR83"/>
  <c r="AQ83"/>
  <c r="AO83"/>
  <c r="AM83"/>
  <c r="AS83"/>
  <c r="AU83"/>
  <c r="AT83"/>
  <c r="AN83"/>
  <c r="AP83"/>
  <c r="AW84"/>
  <c r="AX84"/>
  <c r="AW81"/>
  <c r="AX81"/>
  <c r="AP85"/>
  <c r="AO85"/>
  <c r="AT85"/>
  <c r="AR85"/>
  <c r="AU85"/>
  <c r="AS85"/>
  <c r="AM85"/>
  <c r="AN85"/>
  <c r="AQ85"/>
  <c r="AW85"/>
  <c r="AX85"/>
  <c r="E33"/>
  <c r="E9"/>
  <c r="AV9"/>
  <c r="AS33"/>
  <c r="AP33"/>
  <c r="AO33"/>
  <c r="AQ33"/>
  <c r="AU33"/>
  <c r="AM33"/>
  <c r="AR33"/>
  <c r="AV33"/>
  <c r="AT33"/>
  <c r="AN33"/>
  <c r="AN24"/>
  <c r="AQ24"/>
  <c r="AS24"/>
  <c r="AM24"/>
  <c r="AO24"/>
  <c r="AT24"/>
  <c r="AR24"/>
  <c r="AU24"/>
  <c r="AP24"/>
  <c r="AS19"/>
  <c r="AN19"/>
  <c r="AU19"/>
  <c r="AP19"/>
  <c r="AT19"/>
  <c r="AO19"/>
  <c r="AM19"/>
  <c r="AR19"/>
  <c r="AQ19"/>
  <c r="AM25"/>
  <c r="AU25"/>
  <c r="AS25"/>
  <c r="AN25"/>
  <c r="AP25"/>
  <c r="AO25"/>
  <c r="AT25"/>
  <c r="AQ25"/>
  <c r="AR25"/>
  <c r="AM9"/>
  <c r="AU9"/>
  <c r="AS9"/>
  <c r="AP9"/>
  <c r="AT9"/>
  <c r="AO9"/>
  <c r="AN9"/>
  <c r="AQ9"/>
  <c r="AR9"/>
  <c r="AW83"/>
  <c r="AX83"/>
  <c r="E76"/>
  <c r="AV76"/>
  <c r="E77"/>
  <c r="AV77"/>
  <c r="E8"/>
  <c r="AV8"/>
  <c r="E7"/>
  <c r="AV7"/>
  <c r="P26"/>
  <c r="AW33"/>
  <c r="AR20"/>
  <c r="AN20"/>
  <c r="AU20"/>
  <c r="AP20"/>
  <c r="AQ20"/>
  <c r="AS20"/>
  <c r="AT20"/>
  <c r="AM20"/>
  <c r="AO20"/>
  <c r="AQ21"/>
  <c r="AN21"/>
  <c r="AT21"/>
  <c r="AO21"/>
  <c r="AM21"/>
  <c r="AP21"/>
  <c r="AR21"/>
  <c r="AU21"/>
  <c r="AS21"/>
  <c r="AO78"/>
  <c r="AN78"/>
  <c r="AU78"/>
  <c r="AQ78"/>
  <c r="AS78"/>
  <c r="AT78"/>
  <c r="AR78"/>
  <c r="AM78"/>
  <c r="AP78"/>
  <c r="AP22"/>
  <c r="AS22"/>
  <c r="AU22"/>
  <c r="AN22"/>
  <c r="AT22"/>
  <c r="AO22"/>
  <c r="AR22"/>
  <c r="AQ22"/>
  <c r="AM22"/>
  <c r="AM17"/>
  <c r="AU17"/>
  <c r="AP17"/>
  <c r="AR17"/>
  <c r="AN17"/>
  <c r="AS17"/>
  <c r="AQ17"/>
  <c r="AT17"/>
  <c r="AO17"/>
  <c r="AN79"/>
  <c r="AM79"/>
  <c r="AU79"/>
  <c r="AO79"/>
  <c r="AS79"/>
  <c r="AR79"/>
  <c r="AP79"/>
  <c r="AQ79"/>
  <c r="AT79"/>
  <c r="AO15"/>
  <c r="AR15"/>
  <c r="AT15"/>
  <c r="AQ15"/>
  <c r="AS15"/>
  <c r="AN15"/>
  <c r="AU15"/>
  <c r="AP15"/>
  <c r="AM15"/>
  <c r="AP77"/>
  <c r="AO77"/>
  <c r="AS77"/>
  <c r="AN77"/>
  <c r="AQ77"/>
  <c r="AM77"/>
  <c r="AR77"/>
  <c r="AU77"/>
  <c r="AT77"/>
  <c r="AN16"/>
  <c r="AR16"/>
  <c r="AT16"/>
  <c r="AO16"/>
  <c r="AQ16"/>
  <c r="AU16"/>
  <c r="AM16"/>
  <c r="AS16"/>
  <c r="AP16"/>
  <c r="AO23"/>
  <c r="AS23"/>
  <c r="AQ23"/>
  <c r="AT23"/>
  <c r="AN23"/>
  <c r="AP23"/>
  <c r="AM23"/>
  <c r="AR23"/>
  <c r="AU23"/>
  <c r="AT18"/>
  <c r="AR18"/>
  <c r="AN18"/>
  <c r="AQ18"/>
  <c r="AS18"/>
  <c r="AU18"/>
  <c r="AM18"/>
  <c r="AP18"/>
  <c r="AO18"/>
  <c r="AN8"/>
  <c r="AQ8"/>
  <c r="AS8"/>
  <c r="AP8"/>
  <c r="AM8"/>
  <c r="AT8"/>
  <c r="AO8"/>
  <c r="AR8"/>
  <c r="AU8"/>
  <c r="AQ76"/>
  <c r="AP76"/>
  <c r="AM76"/>
  <c r="AN76"/>
  <c r="AO76"/>
  <c r="AR76"/>
  <c r="AT76"/>
  <c r="AS76"/>
  <c r="AU76"/>
  <c r="AN7"/>
  <c r="AR7"/>
  <c r="AO7"/>
  <c r="I26"/>
  <c r="AS7"/>
  <c r="M26"/>
  <c r="AQ7"/>
  <c r="K26"/>
  <c r="AU7"/>
  <c r="AP7"/>
  <c r="J26"/>
  <c r="AT7"/>
  <c r="N26"/>
  <c r="AF65"/>
  <c r="AJ65"/>
  <c r="AE65"/>
  <c r="AI65"/>
  <c r="AD65"/>
  <c r="AH65"/>
  <c r="AC65"/>
  <c r="AG65"/>
  <c r="E26"/>
  <c r="O26"/>
  <c r="L26"/>
  <c r="H26"/>
  <c r="AW77"/>
  <c r="AX77"/>
  <c r="AW79"/>
  <c r="AX79"/>
  <c r="AW76"/>
  <c r="AX76"/>
  <c r="AW78"/>
  <c r="AX78"/>
  <c r="AB65"/>
  <c r="E74"/>
  <c r="AV74"/>
  <c r="E75"/>
  <c r="AV75"/>
  <c r="E66"/>
  <c r="AV66"/>
  <c r="E67"/>
  <c r="AV67"/>
  <c r="E65"/>
  <c r="AM7"/>
  <c r="G26"/>
  <c r="E35"/>
  <c r="E34"/>
  <c r="E32"/>
  <c r="AS35"/>
  <c r="AO35"/>
  <c r="AU35"/>
  <c r="AN35"/>
  <c r="AQ35"/>
  <c r="AM35"/>
  <c r="AT35"/>
  <c r="AV35"/>
  <c r="AR35"/>
  <c r="AP35"/>
  <c r="AO34"/>
  <c r="AP34"/>
  <c r="AQ34"/>
  <c r="AR34"/>
  <c r="AU34"/>
  <c r="AN34"/>
  <c r="AS34"/>
  <c r="AT34"/>
  <c r="AV34"/>
  <c r="AM34"/>
  <c r="AN32"/>
  <c r="AP32"/>
  <c r="AU32"/>
  <c r="AQ32"/>
  <c r="AO32"/>
  <c r="AS32"/>
  <c r="AV32"/>
  <c r="AT32"/>
  <c r="AR32"/>
  <c r="AU65"/>
  <c r="AV65"/>
  <c r="AR75"/>
  <c r="AQ75"/>
  <c r="AP75"/>
  <c r="AS75"/>
  <c r="AN75"/>
  <c r="AO75"/>
  <c r="AM75"/>
  <c r="AT75"/>
  <c r="AU75"/>
  <c r="AM80"/>
  <c r="AU80"/>
  <c r="AT80"/>
  <c r="AQ80"/>
  <c r="AS80"/>
  <c r="AN80"/>
  <c r="AP80"/>
  <c r="AO80"/>
  <c r="AR80"/>
  <c r="AS66"/>
  <c r="AR66"/>
  <c r="AM66"/>
  <c r="AT66"/>
  <c r="AP66"/>
  <c r="AN66"/>
  <c r="AQ66"/>
  <c r="AO66"/>
  <c r="AU66"/>
  <c r="AS74"/>
  <c r="AR74"/>
  <c r="AN74"/>
  <c r="AO74"/>
  <c r="AU74"/>
  <c r="AM74"/>
  <c r="AP74"/>
  <c r="AQ74"/>
  <c r="AT74"/>
  <c r="AR67"/>
  <c r="AQ67"/>
  <c r="AT67"/>
  <c r="AO67"/>
  <c r="AU67"/>
  <c r="AP67"/>
  <c r="AM67"/>
  <c r="AN67"/>
  <c r="AS67"/>
  <c r="AS82"/>
  <c r="AR82"/>
  <c r="AQ82"/>
  <c r="AT82"/>
  <c r="AN82"/>
  <c r="AM82"/>
  <c r="AP82"/>
  <c r="AO82"/>
  <c r="AU82"/>
  <c r="E86"/>
  <c r="E51"/>
  <c r="AO65"/>
  <c r="AR65"/>
  <c r="AP65"/>
  <c r="AQ65"/>
  <c r="AN65"/>
  <c r="AS65"/>
  <c r="AT65"/>
  <c r="AM65"/>
  <c r="AB32"/>
  <c r="AM32"/>
  <c r="AM51"/>
  <c r="AT86"/>
  <c r="N86"/>
  <c r="AU86"/>
  <c r="O86"/>
  <c r="H86"/>
  <c r="AN86"/>
  <c r="AO86"/>
  <c r="I86"/>
  <c r="AS86"/>
  <c r="M86"/>
  <c r="L86"/>
  <c r="AR86"/>
  <c r="J86"/>
  <c r="AP86"/>
  <c r="AQ86"/>
  <c r="K86"/>
  <c r="P86"/>
  <c r="AV86"/>
  <c r="AM86"/>
  <c r="AS51"/>
  <c r="M51"/>
  <c r="J51"/>
  <c r="AP51"/>
  <c r="AV51"/>
  <c r="P51"/>
  <c r="O51"/>
  <c r="AU51"/>
  <c r="N51"/>
  <c r="AT51"/>
  <c r="AQ51"/>
  <c r="K51"/>
  <c r="AR51"/>
  <c r="L51"/>
  <c r="AO51"/>
  <c r="I51"/>
  <c r="AN51"/>
  <c r="H51"/>
  <c r="AW35"/>
  <c r="AW34"/>
  <c r="AW32"/>
  <c r="AW82"/>
  <c r="AX82"/>
  <c r="AW74"/>
  <c r="AX74"/>
  <c r="AW66"/>
  <c r="AX66"/>
  <c r="AW75"/>
  <c r="AX75"/>
  <c r="AW67"/>
  <c r="AX67"/>
  <c r="AW80"/>
  <c r="AX80"/>
  <c r="AW65"/>
  <c r="AW86"/>
  <c r="G51"/>
  <c r="G86"/>
  <c r="Q26"/>
  <c r="AW51"/>
  <c r="AX65"/>
  <c r="Q86"/>
  <c r="Q51"/>
  <c r="F50" i="27"/>
  <c r="H26"/>
  <c r="D28"/>
  <c r="H28"/>
  <c r="D34"/>
  <c r="J34"/>
  <c r="D32"/>
  <c r="J32"/>
  <c r="F20"/>
  <c r="T13"/>
  <c r="P13"/>
  <c r="F3"/>
  <c r="F18"/>
  <c r="B2"/>
  <c r="N15" i="38"/>
  <c r="N13"/>
  <c r="F20"/>
  <c r="B2"/>
  <c r="D29"/>
  <c r="J29"/>
  <c r="D27"/>
  <c r="J27"/>
  <c r="T13"/>
  <c r="F3"/>
  <c r="F18"/>
  <c r="F52" i="28"/>
  <c r="L32"/>
  <c r="L38"/>
  <c r="L36"/>
  <c r="P13"/>
  <c r="P15"/>
  <c r="P17"/>
  <c r="J3"/>
  <c r="B2"/>
  <c r="F30"/>
  <c r="L34"/>
  <c r="T13"/>
  <c r="F3"/>
  <c r="F20"/>
  <c r="L30"/>
  <c r="D20" i="29"/>
  <c r="D15"/>
  <c r="D17"/>
  <c r="D13"/>
  <c r="B2"/>
  <c r="F30"/>
  <c r="L30"/>
  <c r="L28"/>
  <c r="L38"/>
  <c r="L36"/>
  <c r="L34"/>
  <c r="L32"/>
  <c r="J3"/>
  <c r="F3"/>
  <c r="R13"/>
  <c r="D21" i="31"/>
  <c r="D19"/>
  <c r="F16"/>
  <c r="F14"/>
  <c r="F12"/>
  <c r="B2"/>
  <c r="F27"/>
  <c r="L27"/>
  <c r="L25"/>
  <c r="L35"/>
  <c r="L33"/>
  <c r="L31"/>
  <c r="L29"/>
  <c r="D14"/>
  <c r="D16"/>
  <c r="D12"/>
  <c r="R12"/>
  <c r="D24" i="34"/>
  <c r="D15"/>
  <c r="J9"/>
  <c r="J7"/>
  <c r="H11"/>
  <c r="F11"/>
  <c r="D11"/>
  <c r="B2"/>
  <c r="J11"/>
  <c r="T17" i="35"/>
  <c r="D17"/>
  <c r="B2"/>
  <c r="P17"/>
  <c r="F17"/>
  <c r="L17"/>
  <c r="D20" i="32"/>
  <c r="J20"/>
  <c r="P20"/>
  <c r="F8"/>
  <c r="B2"/>
  <c r="H12"/>
  <c r="H16"/>
  <c r="H14"/>
  <c r="H18"/>
  <c r="H10"/>
  <c r="H20"/>
  <c r="L20"/>
  <c r="R20"/>
  <c r="C16" i="25"/>
  <c r="G37" i="12"/>
  <c r="G40"/>
  <c r="G24"/>
  <c r="G25"/>
  <c r="G26"/>
  <c r="G27"/>
  <c r="G34"/>
  <c r="G16"/>
  <c r="G17"/>
  <c r="G18"/>
  <c r="G19"/>
  <c r="G21"/>
  <c r="G43"/>
  <c r="G30"/>
  <c r="G44"/>
  <c r="G12"/>
  <c r="G11"/>
  <c r="D12"/>
  <c r="D11"/>
  <c r="F5"/>
  <c r="F4"/>
  <c r="F3"/>
  <c r="G38"/>
  <c r="H18"/>
  <c r="H17"/>
  <c r="H16"/>
  <c r="G33"/>
  <c r="G29"/>
  <c r="H19"/>
  <c r="G28"/>
  <c r="G13"/>
  <c r="G20"/>
  <c r="G31"/>
  <c r="G39"/>
  <c r="H33"/>
  <c r="H25"/>
  <c r="H31"/>
  <c r="H27"/>
  <c r="H37"/>
  <c r="H29"/>
  <c r="H40"/>
  <c r="H30"/>
  <c r="H28"/>
  <c r="H26"/>
  <c r="H38"/>
  <c r="H24"/>
  <c r="H13"/>
  <c r="G32"/>
  <c r="H20"/>
  <c r="H32"/>
  <c r="H21"/>
  <c r="H34"/>
  <c r="H43"/>
  <c r="H44"/>
  <c r="G45"/>
  <c r="G46"/>
  <c r="H45"/>
  <c r="H46"/>
  <c r="F6"/>
  <c r="I44"/>
  <c r="F8"/>
  <c r="I17"/>
  <c r="F7"/>
  <c r="I26"/>
  <c r="I31"/>
  <c r="I39"/>
  <c r="I27"/>
  <c r="I24"/>
  <c r="I25"/>
  <c r="I33"/>
  <c r="I19"/>
  <c r="I29"/>
  <c r="I37"/>
  <c r="I38"/>
  <c r="I40"/>
  <c r="I30"/>
  <c r="I16"/>
  <c r="I28"/>
  <c r="I32"/>
  <c r="I20"/>
  <c r="I18"/>
  <c r="I34"/>
  <c r="I21"/>
  <c r="I43"/>
  <c r="G48"/>
  <c r="I45"/>
  <c r="I46"/>
  <c r="G17" i="6"/>
  <c r="D12"/>
  <c r="D11"/>
  <c r="D10"/>
  <c r="G39"/>
  <c r="G40"/>
  <c r="G16"/>
  <c r="G4"/>
  <c r="G7"/>
  <c r="G3"/>
  <c r="B1"/>
  <c r="G30"/>
  <c r="G18"/>
  <c r="G38"/>
  <c r="G32"/>
  <c r="G29"/>
  <c r="G34"/>
  <c r="G28"/>
  <c r="G20"/>
  <c r="H20"/>
  <c r="G27"/>
  <c r="H18"/>
  <c r="G25"/>
  <c r="G26"/>
  <c r="G41"/>
  <c r="H29"/>
  <c r="H30"/>
  <c r="H27"/>
  <c r="H34"/>
  <c r="H39"/>
  <c r="H40"/>
  <c r="H28"/>
  <c r="H38"/>
  <c r="H32"/>
  <c r="H41"/>
  <c r="G19"/>
  <c r="G22"/>
  <c r="G31"/>
  <c r="H16"/>
  <c r="H25"/>
  <c r="H19"/>
  <c r="G33"/>
  <c r="H31"/>
  <c r="H17"/>
  <c r="G35"/>
  <c r="H33"/>
  <c r="H22"/>
  <c r="H26"/>
  <c r="G44"/>
  <c r="H35"/>
  <c r="H44"/>
  <c r="G45"/>
  <c r="H45"/>
  <c r="G11"/>
  <c r="G12"/>
  <c r="G5"/>
  <c r="I18"/>
  <c r="I20"/>
  <c r="I32"/>
  <c r="I28"/>
  <c r="I38"/>
  <c r="I30"/>
  <c r="I29"/>
  <c r="I27"/>
  <c r="I39"/>
  <c r="I40"/>
  <c r="G6"/>
  <c r="I25"/>
  <c r="I34"/>
  <c r="I31"/>
  <c r="G10"/>
  <c r="G13"/>
  <c r="I13"/>
  <c r="I19"/>
  <c r="G21"/>
  <c r="H21"/>
  <c r="I21"/>
  <c r="I33"/>
  <c r="I17"/>
  <c r="I16"/>
  <c r="I22"/>
  <c r="I26"/>
  <c r="I35"/>
  <c r="I41"/>
  <c r="I44"/>
  <c r="I45"/>
  <c r="G49"/>
  <c r="G46"/>
  <c r="I46"/>
  <c r="I47"/>
  <c r="H13"/>
  <c r="H46"/>
  <c r="H47"/>
  <c r="G47"/>
  <c r="N14" i="33"/>
  <c r="N13"/>
  <c r="N12"/>
  <c r="N11"/>
  <c r="N10"/>
  <c r="F28"/>
  <c r="I32"/>
  <c r="J32"/>
  <c r="N15"/>
  <c r="I41"/>
  <c r="H41"/>
  <c r="J41"/>
  <c r="J34"/>
  <c r="I34"/>
  <c r="J33"/>
  <c r="I33"/>
  <c r="B74"/>
  <c r="C69"/>
  <c r="C68"/>
  <c r="C67"/>
  <c r="B69"/>
  <c r="B68"/>
  <c r="B67"/>
  <c r="D65"/>
  <c r="C64"/>
  <c r="K14"/>
  <c r="K13"/>
  <c r="K12"/>
  <c r="K11"/>
  <c r="K10"/>
  <c r="C58"/>
  <c r="B58"/>
  <c r="D58"/>
  <c r="C57"/>
  <c r="C54"/>
  <c r="B54"/>
  <c r="C53"/>
  <c r="C52"/>
  <c r="C51"/>
  <c r="B53"/>
  <c r="B52"/>
  <c r="B51"/>
  <c r="C49"/>
  <c r="D44"/>
  <c r="C44"/>
  <c r="B44"/>
  <c r="B43"/>
  <c r="C40"/>
  <c r="B40"/>
  <c r="C39"/>
  <c r="B39"/>
  <c r="B34"/>
  <c r="C38"/>
  <c r="B38"/>
  <c r="C37"/>
  <c r="B37"/>
  <c r="C36"/>
  <c r="B36"/>
  <c r="C34"/>
  <c r="C33"/>
  <c r="D34"/>
  <c r="B33"/>
  <c r="G28"/>
  <c r="D28"/>
  <c r="I22"/>
  <c r="H22"/>
  <c r="I21"/>
  <c r="H21"/>
  <c r="I20"/>
  <c r="H20"/>
  <c r="E22"/>
  <c r="D22"/>
  <c r="E21"/>
  <c r="D21"/>
  <c r="E20"/>
  <c r="D20"/>
  <c r="K34"/>
  <c r="E44"/>
  <c r="K33"/>
  <c r="K32"/>
  <c r="K15"/>
  <c r="D33"/>
  <c r="E23"/>
  <c r="I23"/>
  <c r="H23"/>
  <c r="D23"/>
  <c r="J14"/>
  <c r="J13"/>
  <c r="J12"/>
  <c r="J11"/>
  <c r="J10"/>
  <c r="H14"/>
  <c r="H13"/>
  <c r="H12"/>
  <c r="H11"/>
  <c r="H10"/>
  <c r="I7"/>
  <c r="I6"/>
  <c r="I5"/>
  <c r="I4"/>
  <c r="I3"/>
  <c r="H7"/>
  <c r="H6"/>
  <c r="H5"/>
  <c r="H4"/>
  <c r="H3"/>
  <c r="B12"/>
  <c r="B3"/>
  <c r="B14"/>
  <c r="B10"/>
  <c r="B7"/>
  <c r="B8"/>
  <c r="B9"/>
  <c r="B15"/>
  <c r="B13"/>
  <c r="B5"/>
  <c r="B11"/>
  <c r="B6"/>
  <c r="B16"/>
  <c r="B17"/>
  <c r="B4"/>
  <c r="B18"/>
  <c r="I12"/>
  <c r="O12"/>
  <c r="P12"/>
  <c r="I11"/>
  <c r="O11"/>
  <c r="P11"/>
  <c r="I13"/>
  <c r="O13"/>
  <c r="P13"/>
  <c r="I14"/>
  <c r="O14"/>
  <c r="P14"/>
  <c r="I10"/>
  <c r="O10"/>
  <c r="K35"/>
  <c r="J23"/>
  <c r="D36"/>
  <c r="E36"/>
  <c r="D40"/>
  <c r="E40"/>
  <c r="D39"/>
  <c r="E39"/>
  <c r="H8"/>
  <c r="D38"/>
  <c r="E38"/>
  <c r="F23"/>
  <c r="D37"/>
  <c r="E37"/>
  <c r="H15"/>
  <c r="I8"/>
  <c r="C65"/>
  <c r="B65"/>
  <c r="E65"/>
  <c r="B49"/>
  <c r="D49"/>
  <c r="I15"/>
  <c r="P10"/>
  <c r="P15"/>
  <c r="O15"/>
  <c r="C43"/>
  <c r="D43"/>
  <c r="E46"/>
  <c r="B57"/>
  <c r="D57"/>
  <c r="D59"/>
  <c r="B73"/>
  <c r="B75"/>
  <c r="B64"/>
  <c r="D64"/>
  <c r="D69"/>
  <c r="E69"/>
  <c r="D68"/>
  <c r="E68"/>
  <c r="D67"/>
  <c r="E67"/>
  <c r="E41"/>
  <c r="D52"/>
  <c r="E52"/>
  <c r="D53"/>
  <c r="E53"/>
  <c r="D54"/>
  <c r="E54"/>
  <c r="D51"/>
  <c r="E51"/>
  <c r="E28"/>
  <c r="D29"/>
  <c r="E70"/>
  <c r="E55"/>
  <c r="G17" i="37"/>
  <c r="G16"/>
  <c r="G11"/>
  <c r="G12"/>
  <c r="D11"/>
  <c r="F5"/>
  <c r="F4"/>
  <c r="F3"/>
  <c r="H17"/>
  <c r="H12"/>
  <c r="H16"/>
  <c r="G36"/>
  <c r="H36"/>
  <c r="H39"/>
  <c r="G37"/>
  <c r="F6"/>
  <c r="G15"/>
  <c r="J37"/>
  <c r="H37"/>
  <c r="J16"/>
  <c r="J17"/>
  <c r="J36"/>
  <c r="F8"/>
  <c r="J15"/>
  <c r="H15"/>
  <c r="H20"/>
  <c r="I17"/>
  <c r="I20"/>
  <c r="I36"/>
  <c r="I39"/>
  <c r="I37"/>
  <c r="F7"/>
  <c r="G28"/>
  <c r="I28"/>
  <c r="H28"/>
  <c r="J28"/>
  <c r="G32"/>
  <c r="G18"/>
  <c r="I32"/>
  <c r="H32"/>
  <c r="J32"/>
  <c r="G23"/>
  <c r="G24"/>
  <c r="G27"/>
  <c r="G25"/>
  <c r="G38"/>
  <c r="H38"/>
  <c r="G30"/>
  <c r="G26"/>
  <c r="I18"/>
  <c r="H18"/>
  <c r="J18"/>
  <c r="G19"/>
  <c r="H27"/>
  <c r="I27"/>
  <c r="J27"/>
  <c r="I25"/>
  <c r="J25"/>
  <c r="H25"/>
  <c r="I30"/>
  <c r="J30"/>
  <c r="H30"/>
  <c r="I38"/>
  <c r="J38"/>
  <c r="G39"/>
  <c r="J39"/>
  <c r="I26"/>
  <c r="J26"/>
  <c r="H26"/>
  <c r="I23"/>
  <c r="I33"/>
  <c r="I42"/>
  <c r="J23"/>
  <c r="H23"/>
  <c r="H33"/>
  <c r="H42"/>
  <c r="H24"/>
  <c r="I24"/>
  <c r="J24"/>
  <c r="I19"/>
  <c r="G20"/>
  <c r="J20"/>
  <c r="J19"/>
  <c r="H19"/>
  <c r="I44"/>
  <c r="H44"/>
  <c r="G29"/>
  <c r="J29"/>
  <c r="I29"/>
  <c r="I43"/>
  <c r="H29"/>
  <c r="H43"/>
  <c r="G31"/>
  <c r="G33"/>
  <c r="H45"/>
  <c r="I45"/>
  <c r="H31"/>
  <c r="J31"/>
  <c r="J33"/>
  <c r="J42"/>
  <c r="G48"/>
  <c r="G42"/>
  <c r="G43"/>
  <c r="I31"/>
  <c r="G44"/>
  <c r="J44"/>
  <c r="J45"/>
  <c r="G45"/>
  <c r="D7" i="15"/>
  <c r="B1"/>
  <c r="D4"/>
  <c r="D12"/>
  <c r="D13"/>
  <c r="D14"/>
  <c r="D27"/>
  <c r="D3"/>
  <c r="G14"/>
  <c r="E12"/>
  <c r="G27"/>
  <c r="E13"/>
  <c r="E27"/>
  <c r="D28"/>
  <c r="E28"/>
  <c r="D22"/>
  <c r="E14"/>
  <c r="G13"/>
  <c r="G12"/>
  <c r="D9"/>
  <c r="G28"/>
  <c r="G22"/>
  <c r="E22"/>
  <c r="D16"/>
  <c r="E16"/>
  <c r="G16"/>
  <c r="D23"/>
  <c r="D29"/>
  <c r="D21"/>
  <c r="D20"/>
  <c r="D18"/>
  <c r="G23"/>
  <c r="E23"/>
  <c r="D25"/>
  <c r="D30"/>
  <c r="E21"/>
  <c r="G21"/>
  <c r="E29"/>
  <c r="G29"/>
  <c r="D19"/>
  <c r="D15"/>
  <c r="D17"/>
  <c r="E20"/>
  <c r="G20"/>
  <c r="E18"/>
  <c r="G18"/>
  <c r="E25"/>
  <c r="G25"/>
  <c r="G30"/>
  <c r="E30"/>
  <c r="E19"/>
  <c r="G19"/>
  <c r="G15"/>
  <c r="E15"/>
  <c r="E17"/>
  <c r="G17"/>
  <c r="D24"/>
  <c r="E24"/>
  <c r="G24"/>
  <c r="D26"/>
  <c r="E26"/>
  <c r="E31"/>
  <c r="G26"/>
  <c r="G31"/>
  <c r="D31"/>
  <c r="D35"/>
  <c r="G35"/>
  <c r="E35"/>
  <c r="E36"/>
  <c r="D34"/>
  <c r="G34"/>
  <c r="E34"/>
  <c r="D36"/>
  <c r="G36"/>
  <c r="D6"/>
  <c r="D5"/>
  <c r="F13"/>
  <c r="F28"/>
  <c r="F22"/>
  <c r="F27"/>
  <c r="F14"/>
  <c r="F16"/>
  <c r="F23"/>
  <c r="F21"/>
  <c r="F29"/>
  <c r="F20"/>
  <c r="F18"/>
  <c r="F25"/>
  <c r="F30"/>
  <c r="F19"/>
  <c r="F15"/>
  <c r="F17"/>
  <c r="F24"/>
  <c r="F26"/>
  <c r="F12"/>
  <c r="F31"/>
  <c r="E38"/>
  <c r="F35"/>
  <c r="F36"/>
  <c r="F34"/>
  <c r="D14" i="24"/>
  <c r="D13"/>
  <c r="D28"/>
  <c r="D15"/>
  <c r="D27"/>
  <c r="D3"/>
  <c r="E28"/>
  <c r="D22"/>
  <c r="E13"/>
  <c r="E15"/>
  <c r="E14"/>
  <c r="E22"/>
  <c r="B1"/>
  <c r="D23"/>
  <c r="E23"/>
  <c r="E27"/>
  <c r="D20"/>
  <c r="D18"/>
  <c r="D17"/>
  <c r="D29"/>
  <c r="D30"/>
  <c r="D16"/>
  <c r="D21"/>
  <c r="D25"/>
  <c r="D19"/>
  <c r="E20"/>
  <c r="E18"/>
  <c r="E25"/>
  <c r="E30"/>
  <c r="E21"/>
  <c r="E29"/>
  <c r="E19"/>
  <c r="E16"/>
  <c r="E17"/>
  <c r="D24"/>
  <c r="E24"/>
  <c r="D26"/>
  <c r="E26"/>
  <c r="E31"/>
  <c r="E34"/>
  <c r="D31"/>
  <c r="D34"/>
  <c r="D5"/>
  <c r="F15"/>
  <c r="F28"/>
  <c r="F14"/>
  <c r="F22"/>
  <c r="F23"/>
  <c r="F27"/>
  <c r="F20"/>
  <c r="F18"/>
  <c r="F25"/>
  <c r="F30"/>
  <c r="F21"/>
  <c r="F29"/>
  <c r="F19"/>
  <c r="F16"/>
  <c r="F17"/>
  <c r="F24"/>
  <c r="F26"/>
  <c r="F13"/>
  <c r="F31"/>
  <c r="F34"/>
  <c r="D9"/>
  <c r="D8"/>
  <c r="D10"/>
  <c r="F10"/>
  <c r="F35"/>
  <c r="F36"/>
  <c r="E10"/>
  <c r="E35"/>
  <c r="E36"/>
  <c r="D35"/>
  <c r="D36"/>
  <c r="G18" i="18"/>
  <c r="G17"/>
  <c r="G12"/>
  <c r="G11"/>
  <c r="D12"/>
  <c r="D11"/>
  <c r="F5"/>
  <c r="F4"/>
  <c r="G37"/>
  <c r="G38"/>
  <c r="G39"/>
  <c r="G16"/>
  <c r="F6"/>
  <c r="F3"/>
  <c r="F8"/>
  <c r="G13"/>
  <c r="H17"/>
  <c r="G31"/>
  <c r="G29"/>
  <c r="G19"/>
  <c r="H19"/>
  <c r="G25"/>
  <c r="G28"/>
  <c r="G26"/>
  <c r="H29"/>
  <c r="H16"/>
  <c r="H13"/>
  <c r="H37"/>
  <c r="F7"/>
  <c r="G24"/>
  <c r="G33"/>
  <c r="H33"/>
  <c r="H18"/>
  <c r="I37"/>
  <c r="I33"/>
  <c r="I16"/>
  <c r="I17"/>
  <c r="I29"/>
  <c r="G27"/>
  <c r="G20"/>
  <c r="H20"/>
  <c r="H21"/>
  <c r="H26"/>
  <c r="H31"/>
  <c r="H27"/>
  <c r="H24"/>
  <c r="H25"/>
  <c r="I24"/>
  <c r="I38"/>
  <c r="H38"/>
  <c r="H40"/>
  <c r="I31"/>
  <c r="I26"/>
  <c r="I18"/>
  <c r="I19"/>
  <c r="H28"/>
  <c r="I27"/>
  <c r="I25"/>
  <c r="G40"/>
  <c r="I40"/>
  <c r="H39"/>
  <c r="I39"/>
  <c r="G30"/>
  <c r="H30"/>
  <c r="G21"/>
  <c r="I21"/>
  <c r="I20"/>
  <c r="I28"/>
  <c r="G32"/>
  <c r="I30"/>
  <c r="I32"/>
  <c r="H32"/>
  <c r="H34"/>
  <c r="H43"/>
  <c r="G34"/>
  <c r="G43"/>
  <c r="H44"/>
  <c r="H45"/>
  <c r="H46"/>
  <c r="I34"/>
  <c r="I43"/>
  <c r="G49"/>
  <c r="G45"/>
  <c r="G44"/>
  <c r="G46"/>
  <c r="I45"/>
  <c r="I46"/>
  <c r="D11" i="16"/>
  <c r="D12"/>
  <c r="D33"/>
  <c r="D13"/>
  <c r="D14"/>
  <c r="B1"/>
  <c r="D18"/>
  <c r="D32"/>
  <c r="D26"/>
  <c r="D20"/>
  <c r="D19"/>
  <c r="D5"/>
  <c r="D4"/>
  <c r="D3"/>
  <c r="D6"/>
  <c r="E33"/>
  <c r="D7"/>
  <c r="F33"/>
  <c r="D31"/>
  <c r="E26"/>
  <c r="E18"/>
  <c r="E20"/>
  <c r="E32"/>
  <c r="E19"/>
  <c r="F26"/>
  <c r="F20"/>
  <c r="F18"/>
  <c r="F32"/>
  <c r="F19"/>
  <c r="E31"/>
  <c r="F31"/>
  <c r="D27"/>
  <c r="D25"/>
  <c r="E25"/>
  <c r="F25"/>
  <c r="F27"/>
  <c r="E27"/>
  <c r="D23"/>
  <c r="D22"/>
  <c r="D21"/>
  <c r="D34"/>
  <c r="D29"/>
  <c r="D24"/>
  <c r="E24"/>
  <c r="F24"/>
  <c r="E29"/>
  <c r="F29"/>
  <c r="F22"/>
  <c r="E22"/>
  <c r="F23"/>
  <c r="E23"/>
  <c r="E34"/>
  <c r="F34"/>
  <c r="F21"/>
  <c r="E21"/>
  <c r="D15"/>
  <c r="F15"/>
  <c r="E15"/>
  <c r="D28"/>
  <c r="F28"/>
  <c r="E28"/>
  <c r="D30"/>
  <c r="E30"/>
  <c r="E35"/>
  <c r="E38"/>
  <c r="F30"/>
  <c r="F35"/>
  <c r="D35"/>
  <c r="F38"/>
  <c r="D38"/>
  <c r="D39"/>
  <c r="D40"/>
  <c r="E39"/>
  <c r="E40"/>
  <c r="D42"/>
  <c r="F39"/>
  <c r="F40"/>
  <c r="H48" i="36"/>
  <c r="F48"/>
  <c r="J44"/>
  <c r="J42"/>
  <c r="J40"/>
  <c r="J38"/>
  <c r="Y42"/>
  <c r="Y44"/>
  <c r="Y40"/>
  <c r="Y38"/>
  <c r="F19"/>
  <c r="J19"/>
  <c r="F21"/>
  <c r="J21"/>
  <c r="H17"/>
  <c r="F9"/>
  <c r="J9"/>
  <c r="F5"/>
  <c r="F7"/>
  <c r="J7"/>
  <c r="B2"/>
  <c r="F17"/>
  <c r="J17"/>
  <c r="J5"/>
  <c r="F11"/>
  <c r="J11"/>
  <c r="F15"/>
  <c r="J15"/>
  <c r="F13"/>
  <c r="J13"/>
  <c r="F23"/>
  <c r="G18" i="39"/>
  <c r="G11"/>
  <c r="G17"/>
  <c r="G16"/>
  <c r="G15"/>
  <c r="G10"/>
  <c r="F7"/>
  <c r="F6"/>
  <c r="F5"/>
  <c r="F4"/>
  <c r="F3"/>
  <c r="G37"/>
  <c r="G38"/>
  <c r="H38"/>
  <c r="G12"/>
  <c r="H17"/>
  <c r="H37"/>
  <c r="H15"/>
  <c r="H16"/>
  <c r="H12"/>
  <c r="G39"/>
  <c r="G29"/>
  <c r="H29"/>
  <c r="G28"/>
  <c r="H28"/>
  <c r="H39"/>
  <c r="G40"/>
  <c r="H40"/>
  <c r="G31"/>
  <c r="H31"/>
  <c r="G26"/>
  <c r="H26"/>
  <c r="G33"/>
  <c r="H33"/>
  <c r="G27"/>
  <c r="H27"/>
  <c r="G24"/>
  <c r="H24"/>
  <c r="G25"/>
  <c r="H25"/>
  <c r="B1"/>
  <c r="G20"/>
  <c r="H20"/>
  <c r="G19"/>
  <c r="H19"/>
  <c r="H18"/>
  <c r="G30"/>
  <c r="H30"/>
  <c r="G21"/>
  <c r="H21"/>
  <c r="G32"/>
  <c r="G34"/>
  <c r="G43"/>
  <c r="H32"/>
  <c r="H34"/>
  <c r="H43"/>
  <c r="G44"/>
  <c r="G45"/>
  <c r="H44"/>
  <c r="G48"/>
  <c r="H45"/>
  <c r="H46"/>
  <c r="G46"/>
  <c r="G22" i="11"/>
  <c r="G21"/>
  <c r="G20"/>
  <c r="G19"/>
  <c r="G18"/>
  <c r="G17"/>
  <c r="G16"/>
  <c r="G12"/>
  <c r="G11"/>
  <c r="F8"/>
  <c r="F7"/>
  <c r="F6"/>
  <c r="F5"/>
  <c r="F4"/>
  <c r="F3"/>
  <c r="G39"/>
  <c r="G40"/>
  <c r="B1"/>
  <c r="H17"/>
  <c r="G31"/>
  <c r="H31"/>
  <c r="G41"/>
  <c r="H41"/>
  <c r="H20"/>
  <c r="G28"/>
  <c r="H28"/>
  <c r="G29"/>
  <c r="H29"/>
  <c r="G26"/>
  <c r="H26"/>
  <c r="G35"/>
  <c r="H35"/>
  <c r="G30"/>
  <c r="G33"/>
  <c r="H33"/>
  <c r="G27"/>
  <c r="H27"/>
  <c r="H22"/>
  <c r="H39"/>
  <c r="H40"/>
  <c r="G32"/>
  <c r="G42"/>
  <c r="H42"/>
  <c r="H16"/>
  <c r="G13"/>
  <c r="H32"/>
  <c r="H19"/>
  <c r="H30"/>
  <c r="H13"/>
  <c r="G34"/>
  <c r="H34"/>
  <c r="H21"/>
  <c r="G23"/>
  <c r="H23"/>
  <c r="H18"/>
  <c r="G36"/>
  <c r="H36"/>
  <c r="G45"/>
  <c r="G47"/>
  <c r="G48"/>
  <c r="G46"/>
  <c r="H45"/>
  <c r="H46"/>
  <c r="G50"/>
  <c r="H47"/>
  <c r="H48"/>
  <c r="H10" i="23"/>
  <c r="G21"/>
  <c r="G19"/>
  <c r="H45"/>
  <c r="H36"/>
  <c r="H29"/>
  <c r="H28"/>
  <c r="H25"/>
  <c r="H26"/>
  <c r="H24"/>
  <c r="H14"/>
  <c r="H7"/>
  <c r="F57"/>
  <c r="H8"/>
  <c r="H21"/>
  <c r="H20"/>
  <c r="H15"/>
  <c r="H13"/>
  <c r="H19"/>
  <c r="H12"/>
  <c r="F56"/>
  <c r="F55"/>
  <c r="H27"/>
  <c r="H9"/>
  <c r="H30"/>
  <c r="H40"/>
  <c r="H44"/>
  <c r="H35"/>
  <c r="H33"/>
  <c r="H41"/>
  <c r="H37"/>
  <c r="H34"/>
  <c r="H32"/>
  <c r="H31"/>
  <c r="H5"/>
  <c r="H6"/>
  <c r="F58"/>
  <c r="G38"/>
  <c r="H22"/>
  <c r="H51"/>
  <c r="H38"/>
  <c r="H43"/>
  <c r="H46"/>
  <c r="H47"/>
  <c r="H48"/>
  <c r="H11"/>
  <c r="H4"/>
  <c r="H16"/>
  <c r="H50"/>
  <c r="H52"/>
  <c r="H49"/>
  <c r="C9" i="22"/>
  <c r="G9"/>
  <c r="K12"/>
  <c r="I12"/>
  <c r="H12"/>
  <c r="G12"/>
  <c r="F12"/>
  <c r="E12"/>
  <c r="D12"/>
  <c r="C12"/>
  <c r="B12"/>
  <c r="I11"/>
  <c r="H11"/>
  <c r="G11"/>
  <c r="F11"/>
  <c r="E11"/>
  <c r="D11"/>
  <c r="C11"/>
  <c r="B11"/>
  <c r="B5"/>
  <c r="B6"/>
  <c r="B7"/>
  <c r="B8"/>
  <c r="B9"/>
  <c r="B10"/>
  <c r="K11"/>
  <c r="I10"/>
  <c r="H10"/>
  <c r="G10"/>
  <c r="F10"/>
  <c r="E10"/>
  <c r="D10"/>
  <c r="C10"/>
  <c r="K10"/>
  <c r="F9"/>
  <c r="I9"/>
  <c r="E9"/>
  <c r="D9"/>
  <c r="H9"/>
  <c r="K9"/>
  <c r="F8"/>
  <c r="E8"/>
  <c r="D8"/>
  <c r="I8"/>
  <c r="C8"/>
  <c r="G8"/>
  <c r="K8"/>
  <c r="F7"/>
  <c r="E7"/>
  <c r="D7"/>
  <c r="I7"/>
  <c r="C7"/>
  <c r="G7"/>
  <c r="K7"/>
  <c r="D6"/>
  <c r="C6"/>
  <c r="D5"/>
  <c r="C5"/>
  <c r="B4"/>
  <c r="C4"/>
  <c r="L4"/>
  <c r="L11"/>
  <c r="L10"/>
  <c r="L9"/>
  <c r="L7"/>
  <c r="L5"/>
  <c r="L8"/>
  <c r="L6"/>
  <c r="H8"/>
  <c r="H7"/>
  <c r="D4"/>
  <c r="C13"/>
  <c r="D13"/>
  <c r="E6"/>
  <c r="G6"/>
  <c r="F6"/>
  <c r="K6"/>
  <c r="I6"/>
  <c r="H6"/>
  <c r="E5"/>
  <c r="G5"/>
  <c r="F5"/>
  <c r="H5"/>
  <c r="E4"/>
  <c r="G4"/>
  <c r="F4"/>
  <c r="H4"/>
  <c r="K5"/>
  <c r="I5"/>
  <c r="I4"/>
  <c r="E13"/>
  <c r="G13"/>
  <c r="F13"/>
  <c r="I13"/>
  <c r="H13"/>
  <c r="K4"/>
</calcChain>
</file>

<file path=xl/comments1.xml><?xml version="1.0" encoding="utf-8"?>
<comments xmlns="http://schemas.openxmlformats.org/spreadsheetml/2006/main">
  <authors>
    <author>klarson</author>
  </authors>
  <commentList>
    <comment ref="D22" authorId="0">
      <text>
        <r>
          <rPr>
            <b/>
            <sz val="9"/>
            <color indexed="81"/>
            <rFont val="Tahoma"/>
            <family val="2"/>
          </rPr>
          <t>klarson:</t>
        </r>
        <r>
          <rPr>
            <sz val="9"/>
            <color indexed="81"/>
            <rFont val="Tahoma"/>
            <family val="2"/>
          </rPr>
          <t xml:space="preserve">
Number of cows and replacement heifers exposed to bulls for breeding for the calf crop being analyzed.</t>
        </r>
      </text>
    </comment>
    <comment ref="P22" authorId="0">
      <text>
        <r>
          <rPr>
            <b/>
            <sz val="9"/>
            <color indexed="81"/>
            <rFont val="Tahoma"/>
            <family val="2"/>
          </rPr>
          <t>klarson:</t>
        </r>
        <r>
          <rPr>
            <sz val="9"/>
            <color indexed="81"/>
            <rFont val="Tahoma"/>
            <family val="2"/>
          </rPr>
          <t xml:space="preserve">
This is for home-raised replacements and herd bulls that transfer into the breeding herd.</t>
        </r>
      </text>
    </comment>
    <comment ref="R22" authorId="0">
      <text>
        <r>
          <rPr>
            <b/>
            <sz val="9"/>
            <color indexed="81"/>
            <rFont val="Tahoma"/>
            <family val="2"/>
          </rPr>
          <t>klarson:</t>
        </r>
        <r>
          <rPr>
            <sz val="9"/>
            <color indexed="81"/>
            <rFont val="Tahoma"/>
            <family val="2"/>
          </rPr>
          <t xml:space="preserve">
This automatically calculates from Jan 1 count plus purchases plus transfers in less sales less deaths.</t>
        </r>
      </text>
    </comment>
    <comment ref="D23" authorId="0">
      <text>
        <r>
          <rPr>
            <b/>
            <sz val="9"/>
            <color indexed="81"/>
            <rFont val="Tahoma"/>
            <family val="2"/>
          </rPr>
          <t>klarson:</t>
        </r>
        <r>
          <rPr>
            <sz val="9"/>
            <color indexed="81"/>
            <rFont val="Tahoma"/>
            <family val="2"/>
          </rPr>
          <t xml:space="preserve">
How many bulls were used for breeding season?</t>
        </r>
      </text>
    </comment>
    <comment ref="P23" authorId="0">
      <text>
        <r>
          <rPr>
            <b/>
            <sz val="9"/>
            <color indexed="81"/>
            <rFont val="Tahoma"/>
            <family val="2"/>
          </rPr>
          <t>klarson:</t>
        </r>
        <r>
          <rPr>
            <sz val="9"/>
            <color indexed="81"/>
            <rFont val="Tahoma"/>
            <family val="2"/>
          </rPr>
          <t xml:space="preserve">
These cells have been locked because they auto-fill from information provided in the Replacement Heifer Enterprise and Bull Development Enterprise.</t>
        </r>
      </text>
    </comment>
    <comment ref="D25" authorId="0">
      <text>
        <r>
          <rPr>
            <b/>
            <sz val="9"/>
            <color indexed="81"/>
            <rFont val="Tahoma"/>
            <family val="2"/>
          </rPr>
          <t>klarson:</t>
        </r>
        <r>
          <rPr>
            <sz val="9"/>
            <color indexed="81"/>
            <rFont val="Tahoma"/>
            <family val="2"/>
          </rPr>
          <t xml:space="preserve">
How many cows were exposed to a bull?</t>
        </r>
      </text>
    </comment>
    <comment ref="P25" authorId="0">
      <text>
        <r>
          <rPr>
            <b/>
            <sz val="9"/>
            <color indexed="81"/>
            <rFont val="Tahoma"/>
            <family val="2"/>
          </rPr>
          <t>klarson:</t>
        </r>
        <r>
          <rPr>
            <sz val="9"/>
            <color indexed="81"/>
            <rFont val="Tahoma"/>
            <family val="2"/>
          </rPr>
          <t xml:space="preserve">
These are the 1st Calvers transferring in at end of year.</t>
        </r>
      </text>
    </comment>
    <comment ref="D27" authorId="0">
      <text>
        <r>
          <rPr>
            <b/>
            <sz val="9"/>
            <color indexed="81"/>
            <rFont val="Tahoma"/>
            <family val="2"/>
          </rPr>
          <t>klarson:</t>
        </r>
        <r>
          <rPr>
            <sz val="9"/>
            <color indexed="81"/>
            <rFont val="Tahoma"/>
            <family val="2"/>
          </rPr>
          <t xml:space="preserve">
How many heifers were exposed to their first breeding?</t>
        </r>
      </text>
    </comment>
    <comment ref="B56" authorId="0">
      <text>
        <r>
          <rPr>
            <b/>
            <sz val="9"/>
            <color indexed="81"/>
            <rFont val="Tahoma"/>
            <family val="2"/>
          </rPr>
          <t>klarson:</t>
        </r>
        <r>
          <rPr>
            <sz val="9"/>
            <color indexed="81"/>
            <rFont val="Tahoma"/>
            <family val="2"/>
          </rPr>
          <t xml:space="preserve">
These are calves sold at weaning or shortly (within 2 weeks) thereafter</t>
        </r>
      </text>
    </comment>
    <comment ref="B62" authorId="0">
      <text>
        <r>
          <rPr>
            <b/>
            <sz val="9"/>
            <color indexed="81"/>
            <rFont val="Tahoma"/>
            <family val="2"/>
          </rPr>
          <t>klarson:</t>
        </r>
        <r>
          <rPr>
            <sz val="9"/>
            <color indexed="81"/>
            <rFont val="Tahoma"/>
            <family val="2"/>
          </rPr>
          <t xml:space="preserve">
Available for herds that keep some males in tact and use for herdsires in their herd.</t>
        </r>
      </text>
    </comment>
    <comment ref="F69" authorId="0">
      <text>
        <r>
          <rPr>
            <b/>
            <sz val="9"/>
            <color indexed="81"/>
            <rFont val="Tahoma"/>
            <family val="2"/>
          </rPr>
          <t>klarson:</t>
        </r>
        <r>
          <rPr>
            <sz val="9"/>
            <color indexed="81"/>
            <rFont val="Tahoma"/>
            <family val="2"/>
          </rPr>
          <t xml:space="preserve">
If known, you can enter, but it is not critical.</t>
        </r>
      </text>
    </comment>
    <comment ref="H69" authorId="0">
      <text>
        <r>
          <rPr>
            <b/>
            <sz val="9"/>
            <color indexed="81"/>
            <rFont val="Tahoma"/>
            <family val="2"/>
          </rPr>
          <t>klarson:</t>
        </r>
        <r>
          <rPr>
            <sz val="9"/>
            <color indexed="81"/>
            <rFont val="Tahoma"/>
            <family val="2"/>
          </rPr>
          <t xml:space="preserve">
If you enter gross amounts, be sure to enter deductions in the tab "10.Expenses" - Trucking/Marketing expense section (Line 111)</t>
        </r>
      </text>
    </comment>
    <comment ref="D90" authorId="0">
      <text>
        <r>
          <rPr>
            <b/>
            <sz val="9"/>
            <color indexed="81"/>
            <rFont val="Tahoma"/>
            <family val="2"/>
          </rPr>
          <t>klarson:</t>
        </r>
        <r>
          <rPr>
            <sz val="9"/>
            <color indexed="81"/>
            <rFont val="Tahoma"/>
            <family val="2"/>
          </rPr>
          <t xml:space="preserve">
Use this column to provide some detail about the amount of feed provided to the cows, bred heifers and herdsires in total or on a per head per day basis
</t>
        </r>
      </text>
    </comment>
    <comment ref="E90" authorId="0">
      <text>
        <r>
          <rPr>
            <b/>
            <sz val="9"/>
            <color indexed="81"/>
            <rFont val="Tahoma"/>
            <family val="2"/>
          </rPr>
          <t>klarson:</t>
        </r>
        <r>
          <rPr>
            <sz val="9"/>
            <color indexed="81"/>
            <rFont val="Tahoma"/>
            <family val="2"/>
          </rPr>
          <t xml:space="preserve">
Enter the total market value for each homegrown feedstuff</t>
        </r>
      </text>
    </comment>
    <comment ref="N90" authorId="0">
      <text>
        <r>
          <rPr>
            <b/>
            <sz val="9"/>
            <color indexed="81"/>
            <rFont val="Tahoma"/>
            <family val="2"/>
          </rPr>
          <t>klarson:</t>
        </r>
        <r>
          <rPr>
            <sz val="9"/>
            <color indexed="81"/>
            <rFont val="Tahoma"/>
            <family val="2"/>
          </rPr>
          <t xml:space="preserve">
Use this column to provide some detail about the amount of feed provided to the cows, bred heifers and herdsires in total or on a per head per day basis
</t>
        </r>
      </text>
    </comment>
    <comment ref="P90" authorId="0">
      <text>
        <r>
          <rPr>
            <b/>
            <sz val="9"/>
            <color indexed="81"/>
            <rFont val="Tahoma"/>
            <family val="2"/>
          </rPr>
          <t>klarson:</t>
        </r>
        <r>
          <rPr>
            <sz val="9"/>
            <color indexed="81"/>
            <rFont val="Tahoma"/>
            <family val="2"/>
          </rPr>
          <t xml:space="preserve">
Enter the total value (amount paid) for the feedstuff. If there is inventory still left on hand be sure not to include it here.</t>
        </r>
      </text>
    </comment>
    <comment ref="B102" authorId="0">
      <text>
        <r>
          <rPr>
            <b/>
            <sz val="9"/>
            <color indexed="81"/>
            <rFont val="Tahoma"/>
            <family val="2"/>
          </rPr>
          <t>klarson:</t>
        </r>
        <r>
          <rPr>
            <sz val="9"/>
            <color indexed="81"/>
            <rFont val="Tahoma"/>
            <family val="2"/>
          </rPr>
          <t xml:space="preserve">
Provide the pasture name, Date In/Out, Animal Type (cow/calf pair or herdsire) - any info that will help you properly capture all your deeded grazing</t>
        </r>
      </text>
    </comment>
    <comment ref="D102" authorId="0">
      <text>
        <r>
          <rPr>
            <b/>
            <sz val="9"/>
            <color indexed="81"/>
            <rFont val="Tahoma"/>
            <family val="2"/>
          </rPr>
          <t>klarson:</t>
        </r>
        <r>
          <rPr>
            <sz val="9"/>
            <color indexed="81"/>
            <rFont val="Tahoma"/>
            <family val="2"/>
          </rPr>
          <t xml:space="preserve">
Enter the number of days the animals were out grazing on the pasture.</t>
        </r>
      </text>
    </comment>
    <comment ref="E102" authorId="0">
      <text>
        <r>
          <rPr>
            <b/>
            <sz val="9"/>
            <color indexed="81"/>
            <rFont val="Tahoma"/>
            <family val="2"/>
          </rPr>
          <t>klarson:</t>
        </r>
        <r>
          <rPr>
            <sz val="9"/>
            <color indexed="81"/>
            <rFont val="Tahoma"/>
            <family val="2"/>
          </rPr>
          <t xml:space="preserve">
Enter the number of cow/calf pairs and/or herdsires that were grazing the pasture.</t>
        </r>
      </text>
    </comment>
    <comment ref="H102" authorId="0">
      <text>
        <r>
          <rPr>
            <b/>
            <sz val="9"/>
            <color indexed="81"/>
            <rFont val="Tahoma"/>
            <family val="2"/>
          </rPr>
          <t>klarson:</t>
        </r>
        <r>
          <rPr>
            <sz val="9"/>
            <color indexed="81"/>
            <rFont val="Tahoma"/>
            <family val="2"/>
          </rPr>
          <t xml:space="preserve">
Enter a market value for deeded grazing. This is for supervised &amp; maintained pasture. Suggested rate $0.80-$1/pr/day </t>
        </r>
      </text>
    </comment>
    <comment ref="L102" authorId="0">
      <text>
        <r>
          <rPr>
            <b/>
            <sz val="9"/>
            <color indexed="81"/>
            <rFont val="Tahoma"/>
            <family val="2"/>
          </rPr>
          <t>klarson:</t>
        </r>
        <r>
          <rPr>
            <sz val="9"/>
            <color indexed="81"/>
            <rFont val="Tahoma"/>
            <family val="2"/>
          </rPr>
          <t xml:space="preserve">
Provide the pasture name, Date In/Out, Animal Type (cow/calf pair or herdsire) - any info that will help you properly capture all your paid grazing</t>
        </r>
      </text>
    </comment>
    <comment ref="P102" authorId="0">
      <text>
        <r>
          <rPr>
            <b/>
            <sz val="9"/>
            <color indexed="81"/>
            <rFont val="Tahoma"/>
            <family val="2"/>
          </rPr>
          <t>klarson:</t>
        </r>
        <r>
          <rPr>
            <sz val="9"/>
            <color indexed="81"/>
            <rFont val="Tahoma"/>
            <family val="2"/>
          </rPr>
          <t xml:space="preserve">
Enter the number of days the animals were out grazing on the pasture.</t>
        </r>
      </text>
    </comment>
    <comment ref="R102" authorId="0">
      <text>
        <r>
          <rPr>
            <b/>
            <sz val="9"/>
            <color indexed="81"/>
            <rFont val="Tahoma"/>
            <family val="2"/>
          </rPr>
          <t>klarson:</t>
        </r>
        <r>
          <rPr>
            <sz val="9"/>
            <color indexed="81"/>
            <rFont val="Tahoma"/>
            <family val="2"/>
          </rPr>
          <t xml:space="preserve">
Enter the number of cow/calf pairs and/or herdsires that were grazing the pasture.</t>
        </r>
      </text>
    </comment>
    <comment ref="T102" authorId="0">
      <text>
        <r>
          <rPr>
            <b/>
            <sz val="9"/>
            <color indexed="81"/>
            <rFont val="Tahoma"/>
            <family val="2"/>
          </rPr>
          <t>klarson:</t>
        </r>
        <r>
          <rPr>
            <sz val="9"/>
            <color indexed="81"/>
            <rFont val="Tahoma"/>
            <family val="2"/>
          </rPr>
          <t xml:space="preserve">
Enter the total fees paid for each type of paid grazing</t>
        </r>
      </text>
    </comment>
  </commentList>
</comments>
</file>

<file path=xl/comments2.xml><?xml version="1.0" encoding="utf-8"?>
<comments xmlns="http://schemas.openxmlformats.org/spreadsheetml/2006/main">
  <authors>
    <author>klarson</author>
  </authors>
  <commentList>
    <comment ref="D12" authorId="0">
      <text>
        <r>
          <rPr>
            <b/>
            <sz val="9"/>
            <color indexed="81"/>
            <rFont val="Tahoma"/>
            <family val="2"/>
          </rPr>
          <t>klarson:</t>
        </r>
        <r>
          <rPr>
            <sz val="9"/>
            <color indexed="81"/>
            <rFont val="Tahoma"/>
            <family val="2"/>
          </rPr>
          <t xml:space="preserve">
How many heifer calves were retained for replacements from your own calf crop?</t>
        </r>
      </text>
    </comment>
    <comment ref="F12" authorId="0">
      <text>
        <r>
          <rPr>
            <b/>
            <sz val="9"/>
            <color indexed="81"/>
            <rFont val="Tahoma"/>
            <family val="2"/>
          </rPr>
          <t>klarson:</t>
        </r>
        <r>
          <rPr>
            <sz val="9"/>
            <color indexed="81"/>
            <rFont val="Tahoma"/>
            <family val="2"/>
          </rPr>
          <t xml:space="preserve">
Any heifer calves purchased for the purpose of becoming replacement females?</t>
        </r>
      </text>
    </comment>
    <comment ref="J12" authorId="0">
      <text>
        <r>
          <rPr>
            <b/>
            <sz val="9"/>
            <color indexed="81"/>
            <rFont val="Tahoma"/>
            <family val="2"/>
          </rPr>
          <t>klarson:</t>
        </r>
        <r>
          <rPr>
            <sz val="9"/>
            <color indexed="81"/>
            <rFont val="Tahoma"/>
            <family val="2"/>
          </rPr>
          <t xml:space="preserve">
After pregnancy check in the fall, how many head sold because they were open?</t>
        </r>
      </text>
    </comment>
    <comment ref="L12" authorId="0">
      <text>
        <r>
          <rPr>
            <b/>
            <sz val="9"/>
            <color indexed="81"/>
            <rFont val="Tahoma"/>
            <family val="2"/>
          </rPr>
          <t>klarson:</t>
        </r>
        <r>
          <rPr>
            <sz val="9"/>
            <color indexed="81"/>
            <rFont val="Tahoma"/>
            <family val="2"/>
          </rPr>
          <t xml:space="preserve">
After pregnancy check in the fall, were any bred heifers sold off the ranch?</t>
        </r>
      </text>
    </comment>
    <comment ref="N12" authorId="0">
      <text>
        <r>
          <rPr>
            <b/>
            <sz val="9"/>
            <color indexed="81"/>
            <rFont val="Tahoma"/>
            <family val="2"/>
          </rPr>
          <t>klarson:</t>
        </r>
        <r>
          <rPr>
            <sz val="9"/>
            <color indexed="81"/>
            <rFont val="Tahoma"/>
            <family val="2"/>
          </rPr>
          <t xml:space="preserve">
After pregnancy check in the fall, how many bred heifers were transferred into the main herd?</t>
        </r>
      </text>
    </comment>
    <comment ref="P12" authorId="0">
      <text>
        <r>
          <rPr>
            <b/>
            <sz val="9"/>
            <color indexed="81"/>
            <rFont val="Tahoma"/>
            <family val="2"/>
          </rPr>
          <t>klarson:</t>
        </r>
        <r>
          <rPr>
            <sz val="9"/>
            <color indexed="81"/>
            <rFont val="Tahoma"/>
            <family val="2"/>
          </rPr>
          <t xml:space="preserve">
This should equal the number of heifers retained from the calf crop being analyzed for the cow-calf enterprise.
THIS CELL AUTO LINKS FROM THE COW-CALF TAB.</t>
        </r>
      </text>
    </comment>
    <comment ref="T13" authorId="0">
      <text>
        <r>
          <rPr>
            <b/>
            <sz val="9"/>
            <color indexed="81"/>
            <rFont val="Tahoma"/>
            <family val="2"/>
          </rPr>
          <t>klarson:</t>
        </r>
        <r>
          <rPr>
            <sz val="9"/>
            <color indexed="81"/>
            <rFont val="Tahoma"/>
            <family val="2"/>
          </rPr>
          <t xml:space="preserve">
This check ensures the opening number of heifers plus purchases less deaths, sales and transfers equals zero. If it does not, you need to review your inventory numbers and adjust.</t>
        </r>
      </text>
    </comment>
    <comment ref="B15" authorId="0">
      <text>
        <r>
          <rPr>
            <b/>
            <sz val="9"/>
            <color indexed="81"/>
            <rFont val="Tahoma"/>
            <family val="2"/>
          </rPr>
          <t>klarson:</t>
        </r>
        <r>
          <rPr>
            <sz val="9"/>
            <color indexed="81"/>
            <rFont val="Tahoma"/>
            <family val="2"/>
          </rPr>
          <t xml:space="preserve">
A market value will need to be entered for the heifers when they were weaned calves and when they were transferred to the main cowherd as bred heifers.</t>
        </r>
      </text>
    </comment>
    <comment ref="F30" authorId="0">
      <text>
        <r>
          <rPr>
            <b/>
            <sz val="9"/>
            <color indexed="81"/>
            <rFont val="Tahoma"/>
            <family val="2"/>
          </rPr>
          <t>klarson:</t>
        </r>
        <r>
          <rPr>
            <sz val="9"/>
            <color indexed="81"/>
            <rFont val="Tahoma"/>
            <family val="2"/>
          </rPr>
          <t xml:space="preserve">
If known, you can enter, but it is not critical.</t>
        </r>
      </text>
    </comment>
    <comment ref="H30" authorId="0">
      <text>
        <r>
          <rPr>
            <b/>
            <sz val="9"/>
            <color indexed="81"/>
            <rFont val="Tahoma"/>
            <family val="2"/>
          </rPr>
          <t>klarson:</t>
        </r>
        <r>
          <rPr>
            <sz val="9"/>
            <color indexed="81"/>
            <rFont val="Tahoma"/>
            <family val="2"/>
          </rPr>
          <t xml:space="preserve">
If you enter gross amounts, be sure to enter deductions in the Expenses tab.</t>
        </r>
      </text>
    </comment>
    <comment ref="D43" authorId="0">
      <text>
        <r>
          <rPr>
            <b/>
            <sz val="9"/>
            <color indexed="81"/>
            <rFont val="Tahoma"/>
            <family val="2"/>
          </rPr>
          <t>klarson:</t>
        </r>
        <r>
          <rPr>
            <sz val="9"/>
            <color indexed="81"/>
            <rFont val="Tahoma"/>
            <family val="2"/>
          </rPr>
          <t xml:space="preserve">
Use this column to provide some detail about the amount of feed provided to the replacement heifers in total or on a per head per day basis
</t>
        </r>
      </text>
    </comment>
    <comment ref="E43" authorId="0">
      <text>
        <r>
          <rPr>
            <b/>
            <sz val="9"/>
            <color indexed="81"/>
            <rFont val="Tahoma"/>
            <family val="2"/>
          </rPr>
          <t>klarson:</t>
        </r>
        <r>
          <rPr>
            <sz val="9"/>
            <color indexed="81"/>
            <rFont val="Tahoma"/>
            <family val="2"/>
          </rPr>
          <t xml:space="preserve">
Enter the total market value for each homegrown feedstuff</t>
        </r>
      </text>
    </comment>
    <comment ref="N43" authorId="0">
      <text>
        <r>
          <rPr>
            <b/>
            <sz val="9"/>
            <color indexed="81"/>
            <rFont val="Tahoma"/>
            <family val="2"/>
          </rPr>
          <t>klarson:</t>
        </r>
        <r>
          <rPr>
            <sz val="9"/>
            <color indexed="81"/>
            <rFont val="Tahoma"/>
            <family val="2"/>
          </rPr>
          <t xml:space="preserve">
Use this column to provide some detail about the amount of feed provided to the replacement heifers in total or on a per head per day basis
</t>
        </r>
      </text>
    </comment>
    <comment ref="P43" authorId="0">
      <text>
        <r>
          <rPr>
            <b/>
            <sz val="9"/>
            <color indexed="81"/>
            <rFont val="Tahoma"/>
            <family val="2"/>
          </rPr>
          <t>klarson:</t>
        </r>
        <r>
          <rPr>
            <sz val="9"/>
            <color indexed="81"/>
            <rFont val="Tahoma"/>
            <family val="2"/>
          </rPr>
          <t xml:space="preserve">
Enter the total value (amount paid) for the feedstuff. If there is inventory still left on hand be sure not to include it here.</t>
        </r>
      </text>
    </comment>
    <comment ref="B55" authorId="0">
      <text>
        <r>
          <rPr>
            <b/>
            <sz val="9"/>
            <color indexed="81"/>
            <rFont val="Tahoma"/>
            <family val="2"/>
          </rPr>
          <t>klarson:</t>
        </r>
        <r>
          <rPr>
            <sz val="9"/>
            <color indexed="81"/>
            <rFont val="Tahoma"/>
            <family val="2"/>
          </rPr>
          <t xml:space="preserve">
Provide the pasture name, Date In/Out, Animal Type (replacement heifer or herdsire) - any info that will help you properly capture all your deeded grazing</t>
        </r>
      </text>
    </comment>
    <comment ref="D55" authorId="0">
      <text>
        <r>
          <rPr>
            <b/>
            <sz val="9"/>
            <color indexed="81"/>
            <rFont val="Tahoma"/>
            <family val="2"/>
          </rPr>
          <t>klarson:</t>
        </r>
        <r>
          <rPr>
            <sz val="9"/>
            <color indexed="81"/>
            <rFont val="Tahoma"/>
            <family val="2"/>
          </rPr>
          <t xml:space="preserve">
Enter the number of days the heifers were out grazing pasture, aftermath grazing, stockpiled grazing.</t>
        </r>
      </text>
    </comment>
    <comment ref="E55" authorId="0">
      <text>
        <r>
          <rPr>
            <b/>
            <sz val="9"/>
            <color indexed="81"/>
            <rFont val="Tahoma"/>
            <family val="2"/>
          </rPr>
          <t>klarson:</t>
        </r>
        <r>
          <rPr>
            <sz val="9"/>
            <color indexed="81"/>
            <rFont val="Tahoma"/>
            <family val="2"/>
          </rPr>
          <t xml:space="preserve">
Enter the number of heifers and herdsires (during heifer breeding season) that were grazing the pasture.</t>
        </r>
      </text>
    </comment>
    <comment ref="H55" authorId="0">
      <text>
        <r>
          <rPr>
            <b/>
            <sz val="9"/>
            <color indexed="81"/>
            <rFont val="Tahoma"/>
            <family val="2"/>
          </rPr>
          <t>klarson:</t>
        </r>
        <r>
          <rPr>
            <sz val="9"/>
            <color indexed="81"/>
            <rFont val="Tahoma"/>
            <family val="2"/>
          </rPr>
          <t xml:space="preserve">
Enter a market value for deeded grazing. This is for supervised &amp; maintained pasture.</t>
        </r>
      </text>
    </comment>
    <comment ref="L55" authorId="0">
      <text>
        <r>
          <rPr>
            <b/>
            <sz val="9"/>
            <color indexed="81"/>
            <rFont val="Tahoma"/>
            <family val="2"/>
          </rPr>
          <t>klarson:</t>
        </r>
        <r>
          <rPr>
            <sz val="9"/>
            <color indexed="81"/>
            <rFont val="Tahoma"/>
            <family val="2"/>
          </rPr>
          <t xml:space="preserve">
Provide the pasture name, Date In/Out, Animal Type (replacement or herdsire) - any info that will help you properly capture all your rented/paid grazing</t>
        </r>
      </text>
    </comment>
    <comment ref="P55" authorId="0">
      <text>
        <r>
          <rPr>
            <b/>
            <sz val="9"/>
            <color indexed="81"/>
            <rFont val="Tahoma"/>
            <family val="2"/>
          </rPr>
          <t>klarson:</t>
        </r>
        <r>
          <rPr>
            <sz val="9"/>
            <color indexed="81"/>
            <rFont val="Tahoma"/>
            <family val="2"/>
          </rPr>
          <t xml:space="preserve">
Enter the number of days the heifers were out grazing pasture, aftermath grazing, stockpiled grazing.</t>
        </r>
      </text>
    </comment>
    <comment ref="R55" authorId="0">
      <text>
        <r>
          <rPr>
            <b/>
            <sz val="9"/>
            <color indexed="81"/>
            <rFont val="Tahoma"/>
            <family val="2"/>
          </rPr>
          <t>klarson:</t>
        </r>
        <r>
          <rPr>
            <sz val="9"/>
            <color indexed="81"/>
            <rFont val="Tahoma"/>
            <family val="2"/>
          </rPr>
          <t xml:space="preserve">
Enter the number of heifers and herdsires (during heifer breeding season) that were grazing the pasture.</t>
        </r>
      </text>
    </comment>
    <comment ref="T55" authorId="0">
      <text>
        <r>
          <rPr>
            <b/>
            <sz val="9"/>
            <color indexed="81"/>
            <rFont val="Tahoma"/>
            <family val="2"/>
          </rPr>
          <t>klarson:</t>
        </r>
        <r>
          <rPr>
            <sz val="9"/>
            <color indexed="81"/>
            <rFont val="Tahoma"/>
            <family val="2"/>
          </rPr>
          <t xml:space="preserve">
Enter the total fees paid for each type of paid grazing</t>
        </r>
      </text>
    </comment>
  </commentList>
</comments>
</file>

<file path=xl/comments3.xml><?xml version="1.0" encoding="utf-8"?>
<comments xmlns="http://schemas.openxmlformats.org/spreadsheetml/2006/main">
  <authors>
    <author>klarson</author>
  </authors>
  <commentList>
    <comment ref="D12" authorId="0">
      <text>
        <r>
          <rPr>
            <b/>
            <sz val="9"/>
            <color indexed="81"/>
            <rFont val="Tahoma"/>
            <family val="2"/>
          </rPr>
          <t>klarson:</t>
        </r>
        <r>
          <rPr>
            <sz val="9"/>
            <color indexed="81"/>
            <rFont val="Tahoma"/>
            <family val="2"/>
          </rPr>
          <t xml:space="preserve">
How many bull calves were retained for replacement herdsires from your own calf crop in the previous year?</t>
        </r>
      </text>
    </comment>
    <comment ref="H12" authorId="0">
      <text>
        <r>
          <rPr>
            <b/>
            <sz val="9"/>
            <color indexed="81"/>
            <rFont val="Tahoma"/>
            <family val="2"/>
          </rPr>
          <t>klarson:</t>
        </r>
        <r>
          <rPr>
            <sz val="9"/>
            <color indexed="81"/>
            <rFont val="Tahoma"/>
            <family val="2"/>
          </rPr>
          <t xml:space="preserve">
After semen test, how many head sold because they failed semen test or were not suitable for herdsires?</t>
        </r>
      </text>
    </comment>
    <comment ref="J12" authorId="0">
      <text>
        <r>
          <rPr>
            <b/>
            <sz val="9"/>
            <color indexed="81"/>
            <rFont val="Tahoma"/>
            <family val="2"/>
          </rPr>
          <t>klarson:</t>
        </r>
        <r>
          <rPr>
            <sz val="9"/>
            <color indexed="81"/>
            <rFont val="Tahoma"/>
            <family val="2"/>
          </rPr>
          <t xml:space="preserve">
Were any yearling bulls sold off the ranch for use in someone else's herd for breeding?</t>
        </r>
      </text>
    </comment>
    <comment ref="L12" authorId="0">
      <text>
        <r>
          <rPr>
            <b/>
            <sz val="9"/>
            <color indexed="81"/>
            <rFont val="Tahoma"/>
            <family val="2"/>
          </rPr>
          <t>klarson:</t>
        </r>
        <r>
          <rPr>
            <sz val="9"/>
            <color indexed="81"/>
            <rFont val="Tahoma"/>
            <family val="2"/>
          </rPr>
          <t xml:space="preserve">
How many bulls transferred into the main herd for breeding as a yearling bull?</t>
        </r>
      </text>
    </comment>
    <comment ref="N12" authorId="0">
      <text>
        <r>
          <rPr>
            <b/>
            <sz val="9"/>
            <color indexed="81"/>
            <rFont val="Tahoma"/>
            <family val="2"/>
          </rPr>
          <t>klarson:</t>
        </r>
        <r>
          <rPr>
            <sz val="9"/>
            <color indexed="81"/>
            <rFont val="Tahoma"/>
            <family val="2"/>
          </rPr>
          <t xml:space="preserve">
This should equal the number of bulls retained from the calf crop being analyzed for the cow-calf enterprise.
THIS CELL AUTO LINKS FROM THE COW-CALF_INPUTFORM TAB.</t>
        </r>
      </text>
    </comment>
    <comment ref="T13" authorId="0">
      <text>
        <r>
          <rPr>
            <b/>
            <sz val="9"/>
            <color indexed="81"/>
            <rFont val="Tahoma"/>
            <family val="2"/>
          </rPr>
          <t>klarson:</t>
        </r>
        <r>
          <rPr>
            <sz val="9"/>
            <color indexed="81"/>
            <rFont val="Tahoma"/>
            <family val="2"/>
          </rPr>
          <t xml:space="preserve">
This check ensures the opening number of bulls  less deaths, sales and transfers equals zero. If it does not, you need to review your inventory numbers and adjust.</t>
        </r>
      </text>
    </comment>
    <comment ref="B15" authorId="0">
      <text>
        <r>
          <rPr>
            <b/>
            <sz val="9"/>
            <color indexed="81"/>
            <rFont val="Tahoma"/>
            <family val="2"/>
          </rPr>
          <t>klarson:</t>
        </r>
        <r>
          <rPr>
            <sz val="9"/>
            <color indexed="81"/>
            <rFont val="Tahoma"/>
            <family val="2"/>
          </rPr>
          <t xml:space="preserve">
A market value will need to be entered for the bulls when they were weaned calves and when they were transferred to the main herd as yearling bulls.</t>
        </r>
      </text>
    </comment>
    <comment ref="F25" authorId="0">
      <text>
        <r>
          <rPr>
            <b/>
            <sz val="9"/>
            <color indexed="81"/>
            <rFont val="Tahoma"/>
            <family val="2"/>
          </rPr>
          <t>klarson:</t>
        </r>
        <r>
          <rPr>
            <sz val="9"/>
            <color indexed="81"/>
            <rFont val="Tahoma"/>
            <family val="2"/>
          </rPr>
          <t xml:space="preserve">
If known, you can enter, but it is not critical.</t>
        </r>
      </text>
    </comment>
    <comment ref="H25" authorId="0">
      <text>
        <r>
          <rPr>
            <b/>
            <sz val="9"/>
            <color indexed="81"/>
            <rFont val="Tahoma"/>
            <family val="2"/>
          </rPr>
          <t>klarson:</t>
        </r>
        <r>
          <rPr>
            <sz val="9"/>
            <color indexed="81"/>
            <rFont val="Tahoma"/>
            <family val="2"/>
          </rPr>
          <t xml:space="preserve">
If you enter gross amounts, be sure to enter deductions in the Expenses tab.</t>
        </r>
      </text>
    </comment>
    <comment ref="D38" authorId="0">
      <text>
        <r>
          <rPr>
            <b/>
            <sz val="9"/>
            <color indexed="81"/>
            <rFont val="Tahoma"/>
            <family val="2"/>
          </rPr>
          <t>klarson:</t>
        </r>
        <r>
          <rPr>
            <sz val="9"/>
            <color indexed="81"/>
            <rFont val="Tahoma"/>
            <family val="2"/>
          </rPr>
          <t xml:space="preserve">
Use this column to provide some detail about the amount of feed provided to the bull calves being developed for herdsires in total or on a per head per day basis
</t>
        </r>
      </text>
    </comment>
    <comment ref="E38" authorId="0">
      <text>
        <r>
          <rPr>
            <b/>
            <sz val="9"/>
            <color indexed="81"/>
            <rFont val="Tahoma"/>
            <family val="2"/>
          </rPr>
          <t>klarson:</t>
        </r>
        <r>
          <rPr>
            <sz val="9"/>
            <color indexed="81"/>
            <rFont val="Tahoma"/>
            <family val="2"/>
          </rPr>
          <t xml:space="preserve">
Enter the total market value for each homegrown feedstuff</t>
        </r>
      </text>
    </comment>
    <comment ref="N38" authorId="0">
      <text>
        <r>
          <rPr>
            <b/>
            <sz val="9"/>
            <color indexed="81"/>
            <rFont val="Tahoma"/>
            <family val="2"/>
          </rPr>
          <t>klarson:</t>
        </r>
        <r>
          <rPr>
            <sz val="9"/>
            <color indexed="81"/>
            <rFont val="Tahoma"/>
            <family val="2"/>
          </rPr>
          <t xml:space="preserve">
Use this column to provide some detail about the amount of feed provided to the bull calves in total or on a per head per day basis
</t>
        </r>
      </text>
    </comment>
    <comment ref="P38" authorId="0">
      <text>
        <r>
          <rPr>
            <b/>
            <sz val="9"/>
            <color indexed="81"/>
            <rFont val="Tahoma"/>
            <family val="2"/>
          </rPr>
          <t>klarson:</t>
        </r>
        <r>
          <rPr>
            <sz val="9"/>
            <color indexed="81"/>
            <rFont val="Tahoma"/>
            <family val="2"/>
          </rPr>
          <t xml:space="preserve">
Enter the total value (amount paid) for the feedstuff. If there is inventory still left on hand be sure not to include it here.</t>
        </r>
      </text>
    </comment>
    <comment ref="B49" authorId="0">
      <text>
        <r>
          <rPr>
            <b/>
            <sz val="9"/>
            <color indexed="81"/>
            <rFont val="Tahoma"/>
            <family val="2"/>
          </rPr>
          <t>klarson:</t>
        </r>
        <r>
          <rPr>
            <sz val="9"/>
            <color indexed="81"/>
            <rFont val="Tahoma"/>
            <family val="2"/>
          </rPr>
          <t xml:space="preserve">
Provide the pasture name, Date In/Out  - any info that will help you properly capture all your deeded grazing</t>
        </r>
      </text>
    </comment>
    <comment ref="D49" authorId="0">
      <text>
        <r>
          <rPr>
            <b/>
            <sz val="9"/>
            <color indexed="81"/>
            <rFont val="Tahoma"/>
            <family val="2"/>
          </rPr>
          <t>klarson:</t>
        </r>
        <r>
          <rPr>
            <sz val="9"/>
            <color indexed="81"/>
            <rFont val="Tahoma"/>
            <family val="2"/>
          </rPr>
          <t xml:space="preserve">
Enter the number of days the yearling bulls were out grazing pasture, aftermath grazing, stockpiled grazing.</t>
        </r>
      </text>
    </comment>
    <comment ref="E49" authorId="0">
      <text>
        <r>
          <rPr>
            <b/>
            <sz val="9"/>
            <color indexed="81"/>
            <rFont val="Tahoma"/>
            <family val="2"/>
          </rPr>
          <t>klarson:</t>
        </r>
        <r>
          <rPr>
            <sz val="9"/>
            <color indexed="81"/>
            <rFont val="Tahoma"/>
            <family val="2"/>
          </rPr>
          <t xml:space="preserve">
Enter the number of yearling bulls that were grazing the pasture.</t>
        </r>
      </text>
    </comment>
    <comment ref="H49" authorId="0">
      <text>
        <r>
          <rPr>
            <b/>
            <sz val="9"/>
            <color indexed="81"/>
            <rFont val="Tahoma"/>
            <family val="2"/>
          </rPr>
          <t>klarson:</t>
        </r>
        <r>
          <rPr>
            <sz val="9"/>
            <color indexed="81"/>
            <rFont val="Tahoma"/>
            <family val="2"/>
          </rPr>
          <t xml:space="preserve">
Enter a market value for deeded grazing. This is for supervised &amp; maintained pasture.</t>
        </r>
      </text>
    </comment>
    <comment ref="L49" authorId="0">
      <text>
        <r>
          <rPr>
            <b/>
            <sz val="9"/>
            <color indexed="81"/>
            <rFont val="Tahoma"/>
            <family val="2"/>
          </rPr>
          <t>klarson:</t>
        </r>
        <r>
          <rPr>
            <sz val="9"/>
            <color indexed="81"/>
            <rFont val="Tahoma"/>
            <family val="2"/>
          </rPr>
          <t xml:space="preserve">
Provide the pasture name, Date In/Out - any info that will help you properly capture all your rented/paid grazing</t>
        </r>
      </text>
    </comment>
    <comment ref="P49" authorId="0">
      <text>
        <r>
          <rPr>
            <b/>
            <sz val="9"/>
            <color indexed="81"/>
            <rFont val="Tahoma"/>
            <family val="2"/>
          </rPr>
          <t>klarson:</t>
        </r>
        <r>
          <rPr>
            <sz val="9"/>
            <color indexed="81"/>
            <rFont val="Tahoma"/>
            <family val="2"/>
          </rPr>
          <t xml:space="preserve">
Enter the number of days the yearling bulls were out grazing pasture, aftermath grazing, stockpiled grazing.</t>
        </r>
      </text>
    </comment>
    <comment ref="R49" authorId="0">
      <text>
        <r>
          <rPr>
            <b/>
            <sz val="9"/>
            <color indexed="81"/>
            <rFont val="Tahoma"/>
            <family val="2"/>
          </rPr>
          <t>klarson:</t>
        </r>
        <r>
          <rPr>
            <sz val="9"/>
            <color indexed="81"/>
            <rFont val="Tahoma"/>
            <family val="2"/>
          </rPr>
          <t xml:space="preserve">
Enter the number of yearling bulls that were grazing the pasture.</t>
        </r>
      </text>
    </comment>
    <comment ref="T49" authorId="0">
      <text>
        <r>
          <rPr>
            <b/>
            <sz val="9"/>
            <color indexed="81"/>
            <rFont val="Tahoma"/>
            <family val="2"/>
          </rPr>
          <t>klarson:</t>
        </r>
        <r>
          <rPr>
            <sz val="9"/>
            <color indexed="81"/>
            <rFont val="Tahoma"/>
            <family val="2"/>
          </rPr>
          <t xml:space="preserve">
Enter the total fees paid for each type of paid grazing</t>
        </r>
      </text>
    </comment>
  </commentList>
</comments>
</file>

<file path=xl/comments4.xml><?xml version="1.0" encoding="utf-8"?>
<comments xmlns="http://schemas.openxmlformats.org/spreadsheetml/2006/main">
  <authors>
    <author>klarson</author>
  </authors>
  <commentList>
    <comment ref="D12" authorId="0">
      <text>
        <r>
          <rPr>
            <b/>
            <sz val="9"/>
            <color indexed="81"/>
            <rFont val="Tahoma"/>
            <family val="2"/>
          </rPr>
          <t>klarson:</t>
        </r>
        <r>
          <rPr>
            <sz val="9"/>
            <color indexed="81"/>
            <rFont val="Tahoma"/>
            <family val="2"/>
          </rPr>
          <t xml:space="preserve">
How many feeder calves were retained for backgrounding from your own calf crop?</t>
        </r>
      </text>
    </comment>
    <comment ref="F12" authorId="0">
      <text>
        <r>
          <rPr>
            <b/>
            <sz val="9"/>
            <color indexed="81"/>
            <rFont val="Tahoma"/>
            <family val="2"/>
          </rPr>
          <t>klarson:</t>
        </r>
        <r>
          <rPr>
            <sz val="9"/>
            <color indexed="81"/>
            <rFont val="Tahoma"/>
            <family val="2"/>
          </rPr>
          <t xml:space="preserve">
Were any feeder calves purchased for the purpose of backgrounding?</t>
        </r>
      </text>
    </comment>
    <comment ref="J12" authorId="0">
      <text>
        <r>
          <rPr>
            <b/>
            <sz val="9"/>
            <color indexed="81"/>
            <rFont val="Tahoma"/>
            <family val="2"/>
          </rPr>
          <t>klarson:</t>
        </r>
        <r>
          <rPr>
            <sz val="9"/>
            <color indexed="81"/>
            <rFont val="Tahoma"/>
            <family val="2"/>
          </rPr>
          <t xml:space="preserve">
How many backgrounders were sold as feeders?</t>
        </r>
      </text>
    </comment>
    <comment ref="L12" authorId="0">
      <text>
        <r>
          <rPr>
            <b/>
            <sz val="9"/>
            <color indexed="81"/>
            <rFont val="Tahoma"/>
            <family val="2"/>
          </rPr>
          <t>klarson:</t>
        </r>
        <r>
          <rPr>
            <sz val="9"/>
            <color indexed="81"/>
            <rFont val="Tahoma"/>
            <family val="2"/>
          </rPr>
          <t xml:space="preserve">
How many backgrounders were turned out to grass in the Spring?</t>
        </r>
      </text>
    </comment>
    <comment ref="N12" authorId="0">
      <text>
        <r>
          <rPr>
            <b/>
            <sz val="9"/>
            <color indexed="81"/>
            <rFont val="Tahoma"/>
            <family val="2"/>
          </rPr>
          <t>klarson:</t>
        </r>
        <r>
          <rPr>
            <sz val="9"/>
            <color indexed="81"/>
            <rFont val="Tahoma"/>
            <family val="2"/>
          </rPr>
          <t xml:space="preserve">
Were any backgrounders placed on full feed to finish?</t>
        </r>
      </text>
    </comment>
    <comment ref="P12" authorId="0">
      <text>
        <r>
          <rPr>
            <b/>
            <sz val="9"/>
            <color indexed="81"/>
            <rFont val="Tahoma"/>
            <family val="2"/>
          </rPr>
          <t>klarson:</t>
        </r>
        <r>
          <rPr>
            <sz val="9"/>
            <color indexed="81"/>
            <rFont val="Tahoma"/>
            <family val="2"/>
          </rPr>
          <t xml:space="preserve">
This should equal the number of feeders retained from the current calf crop being analyzed for the cow-calf enterprise.
THIS CELL AUTO LINKS FROM THE COW-CALF TAB.</t>
        </r>
      </text>
    </comment>
    <comment ref="T13" authorId="0">
      <text>
        <r>
          <rPr>
            <b/>
            <sz val="9"/>
            <color indexed="81"/>
            <rFont val="Tahoma"/>
            <family val="2"/>
          </rPr>
          <t>klarson:</t>
        </r>
        <r>
          <rPr>
            <sz val="9"/>
            <color indexed="81"/>
            <rFont val="Tahoma"/>
            <family val="2"/>
          </rPr>
          <t xml:space="preserve">
This check ensures the opening number of backgrounders plus purchases less deaths, sales and transfers equals zero. If it does not, you need to review your inventory numbers and adjust.</t>
        </r>
      </text>
    </comment>
    <comment ref="B17" authorId="0">
      <text>
        <r>
          <rPr>
            <b/>
            <sz val="9"/>
            <color indexed="81"/>
            <rFont val="Tahoma"/>
            <family val="2"/>
          </rPr>
          <t>klarson:</t>
        </r>
        <r>
          <rPr>
            <sz val="9"/>
            <color indexed="81"/>
            <rFont val="Tahoma"/>
            <family val="2"/>
          </rPr>
          <t xml:space="preserve">
A market value will need to be entered for the backgrounders when they were weaned calves,  when they were transferred to grass (if applicable) and when they were transferred to feedlot (if applicable).</t>
        </r>
      </text>
    </comment>
    <comment ref="B29" authorId="0">
      <text>
        <r>
          <rPr>
            <b/>
            <sz val="9"/>
            <color indexed="81"/>
            <rFont val="Tahoma"/>
            <family val="2"/>
          </rPr>
          <t>klarson:</t>
        </r>
        <r>
          <rPr>
            <sz val="9"/>
            <color indexed="81"/>
            <rFont val="Tahoma"/>
            <family val="2"/>
          </rPr>
          <t xml:space="preserve">
If any calves were purchased to background, enter the details here</t>
        </r>
      </text>
    </comment>
    <comment ref="D29" authorId="0">
      <text>
        <r>
          <rPr>
            <b/>
            <sz val="9"/>
            <color indexed="81"/>
            <rFont val="Tahoma"/>
            <family val="2"/>
          </rPr>
          <t>klarson:</t>
        </r>
        <r>
          <rPr>
            <sz val="9"/>
            <color indexed="81"/>
            <rFont val="Tahoma"/>
            <family val="2"/>
          </rPr>
          <t xml:space="preserve">
This will be the date they arrived at your operation and went onto feed. Which may or may not be the purchase date.</t>
        </r>
      </text>
    </comment>
    <comment ref="H32" authorId="0">
      <text>
        <r>
          <rPr>
            <b/>
            <sz val="9"/>
            <color indexed="81"/>
            <rFont val="Tahoma"/>
            <family val="2"/>
          </rPr>
          <t>klarson:</t>
        </r>
        <r>
          <rPr>
            <sz val="9"/>
            <color indexed="81"/>
            <rFont val="Tahoma"/>
            <family val="2"/>
          </rPr>
          <t xml:space="preserve">
What was the average weight of the backgrounders at time of sale? </t>
        </r>
      </text>
    </comment>
    <comment ref="J32" authorId="0">
      <text>
        <r>
          <rPr>
            <b/>
            <sz val="9"/>
            <color indexed="81"/>
            <rFont val="Tahoma"/>
            <family val="2"/>
          </rPr>
          <t>klarson:</t>
        </r>
        <r>
          <rPr>
            <sz val="9"/>
            <color indexed="81"/>
            <rFont val="Tahoma"/>
            <family val="2"/>
          </rPr>
          <t xml:space="preserve">
If you enter gross amounts, be sure to enter deductions in the Expenses tab.</t>
        </r>
      </text>
    </comment>
    <comment ref="B34" authorId="0">
      <text>
        <r>
          <rPr>
            <b/>
            <sz val="9"/>
            <color indexed="81"/>
            <rFont val="Tahoma"/>
            <family val="2"/>
          </rPr>
          <t>klarson:</t>
        </r>
        <r>
          <rPr>
            <sz val="9"/>
            <color indexed="81"/>
            <rFont val="Tahoma"/>
            <family val="2"/>
          </rPr>
          <t xml:space="preserve">
If there were multiple sales dates (with several weeks spread between dates) for your feeders, it is best to enter each sale date separately.</t>
        </r>
      </text>
    </comment>
    <comment ref="D45" authorId="0">
      <text>
        <r>
          <rPr>
            <b/>
            <sz val="9"/>
            <color indexed="81"/>
            <rFont val="Tahoma"/>
            <family val="2"/>
          </rPr>
          <t>klarson:</t>
        </r>
        <r>
          <rPr>
            <sz val="9"/>
            <color indexed="81"/>
            <rFont val="Tahoma"/>
            <family val="2"/>
          </rPr>
          <t xml:space="preserve">
Use this column to provide some detail about the amount of feed provided to the backgrounders in total or on a per head per day basis
</t>
        </r>
      </text>
    </comment>
    <comment ref="E45" authorId="0">
      <text>
        <r>
          <rPr>
            <b/>
            <sz val="9"/>
            <color indexed="81"/>
            <rFont val="Tahoma"/>
            <family val="2"/>
          </rPr>
          <t>klarson:</t>
        </r>
        <r>
          <rPr>
            <sz val="9"/>
            <color indexed="81"/>
            <rFont val="Tahoma"/>
            <family val="2"/>
          </rPr>
          <t xml:space="preserve">
Enter the total market value for each homegrown feedstuff</t>
        </r>
      </text>
    </comment>
    <comment ref="N45" authorId="0">
      <text>
        <r>
          <rPr>
            <b/>
            <sz val="9"/>
            <color indexed="81"/>
            <rFont val="Tahoma"/>
            <family val="2"/>
          </rPr>
          <t>klarson:</t>
        </r>
        <r>
          <rPr>
            <sz val="9"/>
            <color indexed="81"/>
            <rFont val="Tahoma"/>
            <family val="2"/>
          </rPr>
          <t xml:space="preserve">
Use this column to provide some detail about the amount of feed provided to the backgrounders in total or on a per head per day basis
</t>
        </r>
      </text>
    </comment>
    <comment ref="P45" authorId="0">
      <text>
        <r>
          <rPr>
            <b/>
            <sz val="9"/>
            <color indexed="81"/>
            <rFont val="Tahoma"/>
            <family val="2"/>
          </rPr>
          <t>klarson:</t>
        </r>
        <r>
          <rPr>
            <sz val="9"/>
            <color indexed="81"/>
            <rFont val="Tahoma"/>
            <family val="2"/>
          </rPr>
          <t xml:space="preserve">
Enter the total value (amount paid) for the feedstuff. If there is inventory still left on hand be sure not to include it here.</t>
        </r>
      </text>
    </comment>
  </commentList>
</comments>
</file>

<file path=xl/comments5.xml><?xml version="1.0" encoding="utf-8"?>
<comments xmlns="http://schemas.openxmlformats.org/spreadsheetml/2006/main">
  <authors>
    <author>klarson</author>
  </authors>
  <commentList>
    <comment ref="D12" authorId="0">
      <text>
        <r>
          <rPr>
            <b/>
            <sz val="9"/>
            <color indexed="81"/>
            <rFont val="Tahoma"/>
            <family val="2"/>
          </rPr>
          <t>klarson:</t>
        </r>
        <r>
          <rPr>
            <sz val="9"/>
            <color indexed="81"/>
            <rFont val="Tahoma"/>
            <family val="2"/>
          </rPr>
          <t xml:space="preserve">
THIS AUTO TRANSFERS FROM BACKGROUNDER_INPUTFORM</t>
        </r>
      </text>
    </comment>
    <comment ref="F12" authorId="0">
      <text>
        <r>
          <rPr>
            <b/>
            <sz val="9"/>
            <color indexed="81"/>
            <rFont val="Tahoma"/>
            <family val="2"/>
          </rPr>
          <t>klarson:</t>
        </r>
        <r>
          <rPr>
            <sz val="9"/>
            <color indexed="81"/>
            <rFont val="Tahoma"/>
            <family val="2"/>
          </rPr>
          <t xml:space="preserve">
Were any grassers purchased for the purpose of grassing?</t>
        </r>
      </text>
    </comment>
    <comment ref="J12" authorId="0">
      <text>
        <r>
          <rPr>
            <b/>
            <sz val="9"/>
            <color indexed="81"/>
            <rFont val="Tahoma"/>
            <family val="2"/>
          </rPr>
          <t>klarson:</t>
        </r>
        <r>
          <rPr>
            <sz val="9"/>
            <color indexed="81"/>
            <rFont val="Tahoma"/>
            <family val="2"/>
          </rPr>
          <t xml:space="preserve">
How many grassers were sold in the fall?</t>
        </r>
      </text>
    </comment>
    <comment ref="L12" authorId="0">
      <text>
        <r>
          <rPr>
            <b/>
            <sz val="9"/>
            <color indexed="81"/>
            <rFont val="Tahoma"/>
            <family val="2"/>
          </rPr>
          <t>klarson:</t>
        </r>
        <r>
          <rPr>
            <sz val="9"/>
            <color indexed="81"/>
            <rFont val="Tahoma"/>
            <family val="2"/>
          </rPr>
          <t xml:space="preserve">
Were any grassers placed on full feed to finish?</t>
        </r>
      </text>
    </comment>
    <comment ref="R13" authorId="0">
      <text>
        <r>
          <rPr>
            <b/>
            <sz val="9"/>
            <color indexed="81"/>
            <rFont val="Tahoma"/>
            <family val="2"/>
          </rPr>
          <t>klarson:</t>
        </r>
        <r>
          <rPr>
            <sz val="9"/>
            <color indexed="81"/>
            <rFont val="Tahoma"/>
            <family val="2"/>
          </rPr>
          <t xml:space="preserve">
This check ensures the opening number of grassers plus purchases less deaths, sales and transfers equals zero. If it does not, you need to review your inventory numbers and adjust.</t>
        </r>
      </text>
    </comment>
    <comment ref="H32" authorId="0">
      <text>
        <r>
          <rPr>
            <b/>
            <sz val="9"/>
            <color indexed="81"/>
            <rFont val="Tahoma"/>
            <family val="2"/>
          </rPr>
          <t>klarson:</t>
        </r>
        <r>
          <rPr>
            <sz val="9"/>
            <color indexed="81"/>
            <rFont val="Tahoma"/>
            <family val="2"/>
          </rPr>
          <t xml:space="preserve">
What was the average weight of the grassers at time of sale? If possible, DO NOT use the shrunk weight from the sales slip.</t>
        </r>
      </text>
    </comment>
    <comment ref="J32" authorId="0">
      <text>
        <r>
          <rPr>
            <b/>
            <sz val="9"/>
            <color indexed="81"/>
            <rFont val="Tahoma"/>
            <family val="2"/>
          </rPr>
          <t>klarson:</t>
        </r>
        <r>
          <rPr>
            <sz val="9"/>
            <color indexed="81"/>
            <rFont val="Tahoma"/>
            <family val="2"/>
          </rPr>
          <t xml:space="preserve">
If you enter gross amounts, be sure to enter deductions in the Expenses tab.</t>
        </r>
      </text>
    </comment>
    <comment ref="B34" authorId="0">
      <text>
        <r>
          <rPr>
            <b/>
            <sz val="9"/>
            <color indexed="81"/>
            <rFont val="Tahoma"/>
            <family val="2"/>
          </rPr>
          <t>klarson:</t>
        </r>
        <r>
          <rPr>
            <sz val="9"/>
            <color indexed="81"/>
            <rFont val="Tahoma"/>
            <family val="2"/>
          </rPr>
          <t xml:space="preserve">
If there were multiple sales dates for your grassers, it is best to enter each sale date separately.</t>
        </r>
      </text>
    </comment>
    <comment ref="B44" authorId="0">
      <text>
        <r>
          <rPr>
            <b/>
            <sz val="9"/>
            <color indexed="81"/>
            <rFont val="Tahoma"/>
            <family val="2"/>
          </rPr>
          <t>klarson:</t>
        </r>
        <r>
          <rPr>
            <sz val="9"/>
            <color indexed="81"/>
            <rFont val="Tahoma"/>
            <family val="2"/>
          </rPr>
          <t xml:space="preserve">
Provide the pasture name, Date In/Out, Animal Type (grassers) - any info that will help you properly capture all your deeded grazing</t>
        </r>
      </text>
    </comment>
    <comment ref="D44" authorId="0">
      <text>
        <r>
          <rPr>
            <b/>
            <sz val="9"/>
            <color indexed="81"/>
            <rFont val="Tahoma"/>
            <family val="2"/>
          </rPr>
          <t>klarson:</t>
        </r>
        <r>
          <rPr>
            <sz val="9"/>
            <color indexed="81"/>
            <rFont val="Tahoma"/>
            <family val="2"/>
          </rPr>
          <t xml:space="preserve">
Enter the number of days the grassers were out grazing.</t>
        </r>
      </text>
    </comment>
    <comment ref="E44" authorId="0">
      <text>
        <r>
          <rPr>
            <b/>
            <sz val="9"/>
            <color indexed="81"/>
            <rFont val="Tahoma"/>
            <family val="2"/>
          </rPr>
          <t>klarson:</t>
        </r>
        <r>
          <rPr>
            <sz val="9"/>
            <color indexed="81"/>
            <rFont val="Tahoma"/>
            <family val="2"/>
          </rPr>
          <t xml:space="preserve">
Enter the number of grassers that were grazing the pasture.</t>
        </r>
      </text>
    </comment>
    <comment ref="H44" authorId="0">
      <text>
        <r>
          <rPr>
            <b/>
            <sz val="9"/>
            <color indexed="81"/>
            <rFont val="Tahoma"/>
            <family val="2"/>
          </rPr>
          <t>klarson:</t>
        </r>
        <r>
          <rPr>
            <sz val="9"/>
            <color indexed="81"/>
            <rFont val="Tahoma"/>
            <family val="2"/>
          </rPr>
          <t xml:space="preserve">
Enter a market value for deeded grazing. This is for supervised &amp; maintained pasture.</t>
        </r>
      </text>
    </comment>
    <comment ref="L44" authorId="0">
      <text>
        <r>
          <rPr>
            <b/>
            <sz val="9"/>
            <color indexed="81"/>
            <rFont val="Tahoma"/>
            <family val="2"/>
          </rPr>
          <t>klarson:</t>
        </r>
        <r>
          <rPr>
            <sz val="9"/>
            <color indexed="81"/>
            <rFont val="Tahoma"/>
            <family val="2"/>
          </rPr>
          <t xml:space="preserve">
Provide the pasture name, Date In/Out, Animal Type (grassers) - any info that will help you properly capture all your rented/paid grazing</t>
        </r>
      </text>
    </comment>
    <comment ref="P44" authorId="0">
      <text>
        <r>
          <rPr>
            <b/>
            <sz val="9"/>
            <color indexed="81"/>
            <rFont val="Tahoma"/>
            <family val="2"/>
          </rPr>
          <t>klarson:</t>
        </r>
        <r>
          <rPr>
            <sz val="9"/>
            <color indexed="81"/>
            <rFont val="Tahoma"/>
            <family val="2"/>
          </rPr>
          <t xml:space="preserve">
Enter the number of days the grassers were out grazing pasture</t>
        </r>
      </text>
    </comment>
    <comment ref="R44" authorId="0">
      <text>
        <r>
          <rPr>
            <b/>
            <sz val="9"/>
            <color indexed="81"/>
            <rFont val="Tahoma"/>
            <family val="2"/>
          </rPr>
          <t>klarson:</t>
        </r>
        <r>
          <rPr>
            <sz val="9"/>
            <color indexed="81"/>
            <rFont val="Tahoma"/>
            <family val="2"/>
          </rPr>
          <t xml:space="preserve">
Enter the number of grassers that were grazing the pasture.</t>
        </r>
      </text>
    </comment>
    <comment ref="T44" authorId="0">
      <text>
        <r>
          <rPr>
            <b/>
            <sz val="9"/>
            <color indexed="81"/>
            <rFont val="Tahoma"/>
            <family val="2"/>
          </rPr>
          <t>klarson:</t>
        </r>
        <r>
          <rPr>
            <sz val="9"/>
            <color indexed="81"/>
            <rFont val="Tahoma"/>
            <family val="2"/>
          </rPr>
          <t xml:space="preserve">
Enter the total fees paid for each type of paid grazing</t>
        </r>
      </text>
    </comment>
  </commentList>
</comments>
</file>

<file path=xl/comments6.xml><?xml version="1.0" encoding="utf-8"?>
<comments xmlns="http://schemas.openxmlformats.org/spreadsheetml/2006/main">
  <authors>
    <author>klarson</author>
  </authors>
  <commentList>
    <comment ref="D11" authorId="0">
      <text>
        <r>
          <rPr>
            <b/>
            <sz val="9"/>
            <color indexed="81"/>
            <rFont val="Tahoma"/>
            <family val="2"/>
          </rPr>
          <t>klarson:</t>
        </r>
        <r>
          <rPr>
            <sz val="9"/>
            <color indexed="81"/>
            <rFont val="Tahoma"/>
            <family val="2"/>
          </rPr>
          <t xml:space="preserve">
THIS AUTO TRANSFERS FROM BACKGROUNDER_INPUTFORM</t>
        </r>
      </text>
    </comment>
    <comment ref="F11" authorId="0">
      <text>
        <r>
          <rPr>
            <b/>
            <sz val="9"/>
            <color indexed="81"/>
            <rFont val="Tahoma"/>
            <family val="2"/>
          </rPr>
          <t>klarson:</t>
        </r>
        <r>
          <rPr>
            <sz val="9"/>
            <color indexed="81"/>
            <rFont val="Tahoma"/>
            <family val="2"/>
          </rPr>
          <t xml:space="preserve">
THIS AUTO TRANSFERS FROM GRASSER_INPUTFORM</t>
        </r>
      </text>
    </comment>
    <comment ref="H11" authorId="0">
      <text>
        <r>
          <rPr>
            <b/>
            <sz val="9"/>
            <color indexed="81"/>
            <rFont val="Tahoma"/>
            <family val="2"/>
          </rPr>
          <t>klarson:</t>
        </r>
        <r>
          <rPr>
            <sz val="9"/>
            <color indexed="81"/>
            <rFont val="Tahoma"/>
            <family val="2"/>
          </rPr>
          <t xml:space="preserve">
Were any feeders purchased for the purpose of finishing</t>
        </r>
      </text>
    </comment>
    <comment ref="L11" authorId="0">
      <text>
        <r>
          <rPr>
            <b/>
            <sz val="9"/>
            <color indexed="81"/>
            <rFont val="Tahoma"/>
            <family val="2"/>
          </rPr>
          <t>klarson:</t>
        </r>
        <r>
          <rPr>
            <sz val="9"/>
            <color indexed="81"/>
            <rFont val="Tahoma"/>
            <family val="2"/>
          </rPr>
          <t xml:space="preserve">
How many finishers were sold for slaughter?</t>
        </r>
      </text>
    </comment>
    <comment ref="R12" authorId="0">
      <text>
        <r>
          <rPr>
            <b/>
            <sz val="9"/>
            <color indexed="81"/>
            <rFont val="Tahoma"/>
            <family val="2"/>
          </rPr>
          <t>klarson:</t>
        </r>
        <r>
          <rPr>
            <sz val="9"/>
            <color indexed="81"/>
            <rFont val="Tahoma"/>
            <family val="2"/>
          </rPr>
          <t xml:space="preserve">
This check ensures the opening number of grassers plus purchases less deaths, sales and transfers equals zero. If it does not, you need to review your inventory numbers and adjust.</t>
        </r>
      </text>
    </comment>
    <comment ref="H29" authorId="0">
      <text>
        <r>
          <rPr>
            <b/>
            <sz val="9"/>
            <color indexed="81"/>
            <rFont val="Tahoma"/>
            <family val="2"/>
          </rPr>
          <t>klarson:</t>
        </r>
        <r>
          <rPr>
            <sz val="9"/>
            <color indexed="81"/>
            <rFont val="Tahoma"/>
            <family val="2"/>
          </rPr>
          <t xml:space="preserve">
What was the average weight of the finisher at time of sale? If possible, DO NOT use the shrunk weight from the sales slip.</t>
        </r>
      </text>
    </comment>
    <comment ref="J29" authorId="0">
      <text>
        <r>
          <rPr>
            <b/>
            <sz val="9"/>
            <color indexed="81"/>
            <rFont val="Tahoma"/>
            <family val="2"/>
          </rPr>
          <t>klarson:</t>
        </r>
        <r>
          <rPr>
            <sz val="9"/>
            <color indexed="81"/>
            <rFont val="Tahoma"/>
            <family val="2"/>
          </rPr>
          <t xml:space="preserve">
If you enter gross amounts, be sure to enter deductions in the Expenses tab.</t>
        </r>
      </text>
    </comment>
    <comment ref="B31" authorId="0">
      <text>
        <r>
          <rPr>
            <b/>
            <sz val="9"/>
            <color indexed="81"/>
            <rFont val="Tahoma"/>
            <family val="2"/>
          </rPr>
          <t>klarson:</t>
        </r>
        <r>
          <rPr>
            <sz val="9"/>
            <color indexed="81"/>
            <rFont val="Tahoma"/>
            <family val="2"/>
          </rPr>
          <t xml:space="preserve">
If there were multiple sales dates for your finishers it is best to enter each sale date separately.</t>
        </r>
      </text>
    </comment>
    <comment ref="B33" authorId="0">
      <text>
        <r>
          <rPr>
            <b/>
            <sz val="9"/>
            <color indexed="81"/>
            <rFont val="Tahoma"/>
            <family val="2"/>
          </rPr>
          <t>klarson:</t>
        </r>
        <r>
          <rPr>
            <sz val="9"/>
            <color indexed="81"/>
            <rFont val="Tahoma"/>
            <family val="2"/>
          </rPr>
          <t xml:space="preserve">
If there were multiple sales dates for your finishers it is best to enter each sale date separately.</t>
        </r>
      </text>
    </comment>
    <comment ref="B35" authorId="0">
      <text>
        <r>
          <rPr>
            <b/>
            <sz val="9"/>
            <color indexed="81"/>
            <rFont val="Tahoma"/>
            <family val="2"/>
          </rPr>
          <t>klarson:</t>
        </r>
        <r>
          <rPr>
            <sz val="9"/>
            <color indexed="81"/>
            <rFont val="Tahoma"/>
            <family val="2"/>
          </rPr>
          <t xml:space="preserve">
If there were multiple sales dates for your finishers it is best to enter each sale date separately.</t>
        </r>
      </text>
    </comment>
    <comment ref="D41" authorId="0">
      <text>
        <r>
          <rPr>
            <b/>
            <sz val="9"/>
            <color indexed="81"/>
            <rFont val="Tahoma"/>
            <family val="2"/>
          </rPr>
          <t>klarson:</t>
        </r>
        <r>
          <rPr>
            <sz val="9"/>
            <color indexed="81"/>
            <rFont val="Tahoma"/>
            <family val="2"/>
          </rPr>
          <t xml:space="preserve">
Use this column to provide some detail about the amount of feed provided to the backgrounders in total or on a per head per day basis
</t>
        </r>
      </text>
    </comment>
    <comment ref="E41" authorId="0">
      <text>
        <r>
          <rPr>
            <b/>
            <sz val="9"/>
            <color indexed="81"/>
            <rFont val="Tahoma"/>
            <family val="2"/>
          </rPr>
          <t>klarson:</t>
        </r>
        <r>
          <rPr>
            <sz val="9"/>
            <color indexed="81"/>
            <rFont val="Tahoma"/>
            <family val="2"/>
          </rPr>
          <t xml:space="preserve">
Enter the total market value for each homegrown feedstuff</t>
        </r>
      </text>
    </comment>
    <comment ref="N41" authorId="0">
      <text>
        <r>
          <rPr>
            <b/>
            <sz val="9"/>
            <color indexed="81"/>
            <rFont val="Tahoma"/>
            <family val="2"/>
          </rPr>
          <t>klarson:</t>
        </r>
        <r>
          <rPr>
            <sz val="9"/>
            <color indexed="81"/>
            <rFont val="Tahoma"/>
            <family val="2"/>
          </rPr>
          <t xml:space="preserve">
Use this column to provide some detail about the amount of feed provided to the backgrounders in total or on a per head per day basis
</t>
        </r>
      </text>
    </comment>
    <comment ref="P41" authorId="0">
      <text>
        <r>
          <rPr>
            <b/>
            <sz val="9"/>
            <color indexed="81"/>
            <rFont val="Tahoma"/>
            <family val="2"/>
          </rPr>
          <t>klarson:</t>
        </r>
        <r>
          <rPr>
            <sz val="9"/>
            <color indexed="81"/>
            <rFont val="Tahoma"/>
            <family val="2"/>
          </rPr>
          <t xml:space="preserve">
Enter the total value (amount paid) for the feedstuff. If there is inventory still left on hand be sure not to include it here.</t>
        </r>
      </text>
    </comment>
  </commentList>
</comments>
</file>

<file path=xl/comments7.xml><?xml version="1.0" encoding="utf-8"?>
<comments xmlns="http://schemas.openxmlformats.org/spreadsheetml/2006/main">
  <authors>
    <author>klarson</author>
  </authors>
  <commentList>
    <comment ref="J5" authorId="0">
      <text>
        <r>
          <rPr>
            <b/>
            <sz val="9"/>
            <color indexed="81"/>
            <rFont val="Tahoma"/>
            <family val="2"/>
          </rPr>
          <t>klarson:</t>
        </r>
        <r>
          <rPr>
            <sz val="9"/>
            <color indexed="81"/>
            <rFont val="Tahoma"/>
            <family val="2"/>
          </rPr>
          <t xml:space="preserve">
Bale weight is important to provide even if yield reported in tonnes.</t>
        </r>
      </text>
    </comment>
    <comment ref="P5" authorId="0">
      <text>
        <r>
          <rPr>
            <b/>
            <sz val="9"/>
            <color indexed="81"/>
            <rFont val="Tahoma"/>
            <family val="2"/>
          </rPr>
          <t>klarson:</t>
        </r>
        <r>
          <rPr>
            <sz val="9"/>
            <color indexed="81"/>
            <rFont val="Tahoma"/>
            <family val="2"/>
          </rPr>
          <t xml:space="preserve">
If you sold any hay, greenfeed or straw off the farm, please indicate amount and price received.</t>
        </r>
      </text>
    </comment>
  </commentList>
</comments>
</file>

<file path=xl/comments8.xml><?xml version="1.0" encoding="utf-8"?>
<comments xmlns="http://schemas.openxmlformats.org/spreadsheetml/2006/main">
  <authors>
    <author>klarson</author>
  </authors>
  <commentList>
    <comment ref="P8" authorId="0">
      <text>
        <r>
          <rPr>
            <b/>
            <sz val="9"/>
            <color indexed="81"/>
            <rFont val="Tahoma"/>
            <family val="2"/>
          </rPr>
          <t>klarson:</t>
        </r>
        <r>
          <rPr>
            <sz val="9"/>
            <color indexed="81"/>
            <rFont val="Tahoma"/>
            <family val="2"/>
          </rPr>
          <t xml:space="preserve">
Of your most recent year's production, how much is still left on hand to be priced?</t>
        </r>
      </text>
    </comment>
  </commentList>
</comments>
</file>

<file path=xl/comments9.xml><?xml version="1.0" encoding="utf-8"?>
<comments xmlns="http://schemas.openxmlformats.org/spreadsheetml/2006/main">
  <authors>
    <author>klarson</author>
  </authors>
  <commentList>
    <comment ref="B4" authorId="0">
      <text>
        <r>
          <rPr>
            <b/>
            <sz val="9"/>
            <color indexed="81"/>
            <rFont val="Tahoma"/>
            <family val="2"/>
          </rPr>
          <t>klarson:</t>
        </r>
        <r>
          <rPr>
            <sz val="9"/>
            <color indexed="81"/>
            <rFont val="Tahoma"/>
            <family val="2"/>
          </rPr>
          <t xml:space="preserve">
This number calculates based on how production is reported in Forage_InputForm tab. If production reported in tonnes, bales not counted for that forage type.</t>
        </r>
      </text>
    </comment>
  </commentList>
</comments>
</file>

<file path=xl/sharedStrings.xml><?xml version="1.0" encoding="utf-8"?>
<sst xmlns="http://schemas.openxmlformats.org/spreadsheetml/2006/main" count="1315" uniqueCount="625">
  <si>
    <t># Head</t>
  </si>
  <si>
    <t>A - F</t>
  </si>
  <si>
    <t>Margin + Unpaid Labour</t>
  </si>
  <si>
    <t>A - E</t>
  </si>
  <si>
    <t>Margin</t>
  </si>
  <si>
    <t>F</t>
  </si>
  <si>
    <t>Total Costs - Unpaid Labour</t>
  </si>
  <si>
    <t>E = B+C+D</t>
  </si>
  <si>
    <t xml:space="preserve">Total Costs </t>
  </si>
  <si>
    <t>$/lb</t>
  </si>
  <si>
    <t>$/Cow</t>
  </si>
  <si>
    <t>Total $</t>
  </si>
  <si>
    <t>D</t>
  </si>
  <si>
    <t xml:space="preserve">Total Other Costs </t>
  </si>
  <si>
    <t>Operating Interest</t>
  </si>
  <si>
    <t xml:space="preserve">Capital Interest </t>
  </si>
  <si>
    <t>Other Costs</t>
  </si>
  <si>
    <t>C</t>
  </si>
  <si>
    <t xml:space="preserve">Total Yardage Costs </t>
  </si>
  <si>
    <t>Lease Payments</t>
  </si>
  <si>
    <t>Depreciation</t>
  </si>
  <si>
    <t>Taxes/Lisc./H20</t>
  </si>
  <si>
    <t>Paid Labour</t>
  </si>
  <si>
    <t>Custom Work</t>
  </si>
  <si>
    <t>Utilities &amp; Misc.</t>
  </si>
  <si>
    <t>Building Repairs</t>
  </si>
  <si>
    <t>Machinery Repairs</t>
  </si>
  <si>
    <t>Yardage Costs</t>
  </si>
  <si>
    <t>B</t>
  </si>
  <si>
    <t xml:space="preserve">Total Direct Costs </t>
  </si>
  <si>
    <t>Breeding Stock Depreciation</t>
  </si>
  <si>
    <t>Veterinary &amp; Medicine</t>
  </si>
  <si>
    <t>Grazing</t>
  </si>
  <si>
    <t>Direct Costs</t>
  </si>
  <si>
    <t>A</t>
  </si>
  <si>
    <t>Total Income/Production</t>
  </si>
  <si>
    <t>Income</t>
  </si>
  <si>
    <t>Weaning %age</t>
  </si>
  <si>
    <t>Average WWT</t>
  </si>
  <si>
    <t>Pounds of Calf Weaned</t>
  </si>
  <si>
    <t># of Calves Weaned</t>
  </si>
  <si>
    <t>$/hd</t>
  </si>
  <si>
    <t>Purchases</t>
  </si>
  <si>
    <t>Weaned Calf Sales</t>
  </si>
  <si>
    <t>Backgrounder Sales</t>
  </si>
  <si>
    <t>Cull Sales</t>
  </si>
  <si>
    <t>Check</t>
  </si>
  <si>
    <t>Date In</t>
  </si>
  <si>
    <t>Transfers</t>
  </si>
  <si>
    <t xml:space="preserve">Weaned Calf Sales </t>
  </si>
  <si>
    <t>Deaths</t>
  </si>
  <si>
    <t>Replacement Heifers</t>
  </si>
  <si>
    <t>Ending Inventory</t>
  </si>
  <si>
    <t>Cow-Calf</t>
  </si>
  <si>
    <t>Vet &amp; Medicine Sub-Total</t>
  </si>
  <si>
    <t>Fuel, Oil &amp; Lube Sub-Total</t>
  </si>
  <si>
    <t>Machinery Repairs Sub-Total</t>
  </si>
  <si>
    <t>Total Salary</t>
  </si>
  <si>
    <t>Sub-Total Non-Power Machinery Depreciation</t>
  </si>
  <si>
    <t>Sub-Total Power Machinery Depreciation</t>
  </si>
  <si>
    <t>Sub-Total Unpaid Labour</t>
  </si>
  <si>
    <t>head</t>
  </si>
  <si>
    <t>Building Repairs Sub-Total</t>
  </si>
  <si>
    <t>Utilities &amp; Miscellaneous Sub-Total</t>
  </si>
  <si>
    <t>Custom Work Sub-Total</t>
  </si>
  <si>
    <t>Paid Labour Sub-Total</t>
  </si>
  <si>
    <t>Trucking/Marketing Sub-Total</t>
  </si>
  <si>
    <t>Capital Interest Sub-Total</t>
  </si>
  <si>
    <t>Lease Payments Sub-Total</t>
  </si>
  <si>
    <t>Taxes, Lic, H2O, Insur Sub-Total</t>
  </si>
  <si>
    <t># Head Retained</t>
  </si>
  <si>
    <t>Death Loss (# of Head)</t>
  </si>
  <si>
    <t>$/Head</t>
  </si>
  <si>
    <t>Seed</t>
  </si>
  <si>
    <t>Fertilizer</t>
  </si>
  <si>
    <t>Trucking/Hauling</t>
  </si>
  <si>
    <t>Crop Insurance</t>
  </si>
  <si>
    <t>Total Expenses - Unpaid Labour</t>
  </si>
  <si>
    <t>A - B</t>
  </si>
  <si>
    <t>A - C</t>
  </si>
  <si>
    <t># Bales</t>
  </si>
  <si>
    <t>TOTAL PRODUCTION</t>
  </si>
  <si>
    <t>EXPENSES</t>
  </si>
  <si>
    <t>TOTAL EXPENSES</t>
  </si>
  <si>
    <t>Chemical</t>
  </si>
  <si>
    <t>Native</t>
  </si>
  <si>
    <t>Tame</t>
  </si>
  <si>
    <t>Total Grazing Days</t>
  </si>
  <si>
    <t>$/hd/d</t>
  </si>
  <si>
    <t>Chemicals</t>
  </si>
  <si>
    <t xml:space="preserve">Total Expenses </t>
  </si>
  <si>
    <t xml:space="preserve">Total Expenses - Unpaid Labour </t>
  </si>
  <si>
    <t xml:space="preserve">    Grassers</t>
  </si>
  <si>
    <t xml:space="preserve">    Replacements</t>
  </si>
  <si>
    <t>Production (Grazing Value)</t>
  </si>
  <si>
    <t>Retained Calves</t>
  </si>
  <si>
    <t>VET &amp; MEDICINE</t>
  </si>
  <si>
    <t>MACHINERY REPAIRS</t>
  </si>
  <si>
    <t>UTILITIES &amp; MISCELLANEOUS</t>
  </si>
  <si>
    <t>CUSTOM WORK</t>
  </si>
  <si>
    <t>PAID LABOUR</t>
  </si>
  <si>
    <t>LEASE PAYMENTS</t>
  </si>
  <si>
    <t>TRUCKING/MARKETING</t>
  </si>
  <si>
    <t>Grasser Sales</t>
  </si>
  <si>
    <t>Grasser</t>
  </si>
  <si>
    <t>Retained to Background</t>
  </si>
  <si>
    <t>TOTAL</t>
  </si>
  <si>
    <t>TOTALS</t>
  </si>
  <si>
    <t>Transfer to Finisher</t>
  </si>
  <si>
    <t>SALT &amp; MINERAL</t>
  </si>
  <si>
    <t>Salt &amp; Mineral Sub-Total</t>
  </si>
  <si>
    <t>Vet &amp; med</t>
  </si>
  <si>
    <t>FUEL</t>
  </si>
  <si>
    <t>Accounting &amp; Legal</t>
  </si>
  <si>
    <t>Office Expense</t>
  </si>
  <si>
    <t>LAND RENT, STANDING HAY, CROP SHARE</t>
  </si>
  <si>
    <t>Land Rent, Standing Hay, Crop Share Sub-Total</t>
  </si>
  <si>
    <t>Retained as Replacement</t>
  </si>
  <si>
    <t>Salt &amp; Mineral</t>
  </si>
  <si>
    <t>Winter Feed/Bedding</t>
  </si>
  <si>
    <t>Taxes, License, Insurance</t>
  </si>
  <si>
    <t># of Additional Head Purchased</t>
  </si>
  <si>
    <t># Head Purchased</t>
  </si>
  <si>
    <t>Replacement Heifer Purchases</t>
  </si>
  <si>
    <t>TOTAL LBS</t>
  </si>
  <si>
    <t>Sale/Transfers of Backgrounders</t>
  </si>
  <si>
    <t>TOTAL $</t>
  </si>
  <si>
    <t>Backgrounder Purchases</t>
  </si>
  <si>
    <t>Backgrounding Ration, Bedding</t>
  </si>
  <si>
    <t>GRASSERS - COST OF PRODUCTION</t>
  </si>
  <si>
    <t># of Head Onto Grass</t>
  </si>
  <si>
    <t># of Head Retained to Background</t>
  </si>
  <si>
    <t># of Grazing Days</t>
  </si>
  <si>
    <t>Kept to Finish</t>
  </si>
  <si>
    <t>Starting Value of Grassers</t>
  </si>
  <si>
    <t>Grasser Purchases</t>
  </si>
  <si>
    <t>Land Rent, Standing Hay</t>
  </si>
  <si>
    <t>Lease Fees, Pasture Rent</t>
  </si>
  <si>
    <t>WINNERS AND LOSERS REPORT</t>
  </si>
  <si>
    <t>Enterprise</t>
  </si>
  <si>
    <t>Cash Revenue</t>
  </si>
  <si>
    <t>Cows</t>
  </si>
  <si>
    <t>Hay</t>
  </si>
  <si>
    <t>Pasture</t>
  </si>
  <si>
    <t>Grain</t>
  </si>
  <si>
    <t>Fuel</t>
  </si>
  <si>
    <t>Utilities &amp; Miscellaneous</t>
  </si>
  <si>
    <t>Capital Interest</t>
  </si>
  <si>
    <t>Other</t>
  </si>
  <si>
    <t xml:space="preserve"> Description</t>
  </si>
  <si>
    <t>Unpaid Labour</t>
  </si>
  <si>
    <t>Hours</t>
  </si>
  <si>
    <t>$ / Hour</t>
  </si>
  <si>
    <t>Production</t>
  </si>
  <si>
    <t>Rate %</t>
  </si>
  <si>
    <t>ALLOCATION OF MACHINERY ACROSS ENTERPRISES</t>
  </si>
  <si>
    <t>Current Value</t>
  </si>
  <si>
    <t>ALLOCATION OF BUILDINGS ACROSS ENTERPRISES</t>
  </si>
  <si>
    <t>ALLOCATION OF LABOUR ACROSS ENTERPRISES</t>
  </si>
  <si>
    <t># Days</t>
  </si>
  <si>
    <t>Heifers</t>
  </si>
  <si>
    <t>UCOP</t>
  </si>
  <si>
    <t>TIP:</t>
  </si>
  <si>
    <t>PRIMARY UNIT</t>
  </si>
  <si>
    <t>UCOP (UNIT COST OF PRODUCTION) = TOTAL COSTS/TOTAL UNITS PRODUCED; This is your break-even price</t>
  </si>
  <si>
    <t>WHOLE FARM REPORT</t>
  </si>
  <si>
    <t>REVENUES</t>
  </si>
  <si>
    <t>Less: Cattle Purchases</t>
  </si>
  <si>
    <t>In-Herd Transfers</t>
  </si>
  <si>
    <t>VALUE OF PRODUCTION</t>
  </si>
  <si>
    <t>Non-Cash</t>
  </si>
  <si>
    <t>Vet &amp; Medicine</t>
  </si>
  <si>
    <t>Breeding Fees/Bull Rental</t>
  </si>
  <si>
    <t>Repairs - Machinery</t>
  </si>
  <si>
    <t>Repairs - Buildings, Corrals, Fence</t>
  </si>
  <si>
    <t>Custom Work &amp; Spec. Labour</t>
  </si>
  <si>
    <t>Paid Labour &amp; Benefits</t>
  </si>
  <si>
    <t>Land Rent, Livestock Share</t>
  </si>
  <si>
    <t>Equipment &amp; Building</t>
  </si>
  <si>
    <t>TOTAL CAPITAL COSTS</t>
  </si>
  <si>
    <t>CASH COSTS</t>
  </si>
  <si>
    <t>TOTAL PRODUCTION COSTS</t>
  </si>
  <si>
    <t>NET INCOME</t>
  </si>
  <si>
    <t>INVESTMENT</t>
  </si>
  <si>
    <t>Buildings</t>
  </si>
  <si>
    <t>Machinery</t>
  </si>
  <si>
    <t>Breeding Stock</t>
  </si>
  <si>
    <t>GROSS MARGIN*</t>
  </si>
  <si>
    <t>*Gross Margin = Value of Production - Total Production Costs (excludes depreciation and unpaid labour)</t>
  </si>
  <si>
    <t>Operating Interest &amp; Bank Charges</t>
  </si>
  <si>
    <t>TOTAL VARIABLE COSTS</t>
  </si>
  <si>
    <t>UNPAID LABOUR</t>
  </si>
  <si>
    <t>NET INCOME - UNPAID LABOUR</t>
  </si>
  <si>
    <t>TOTAL INVESTMENT</t>
  </si>
  <si>
    <t>Fence Repairs</t>
  </si>
  <si>
    <t>Subscriptions</t>
  </si>
  <si>
    <t>Hail Insurance</t>
  </si>
  <si>
    <t>Yield</t>
  </si>
  <si>
    <t>Land Rent</t>
  </si>
  <si>
    <t>Grain Sales</t>
  </si>
  <si>
    <t>Breeding Fees</t>
  </si>
  <si>
    <t>BREEDING FEES</t>
  </si>
  <si>
    <t>Breeding Fees Sub-Total</t>
  </si>
  <si>
    <t>Mineral</t>
  </si>
  <si>
    <t>Salt</t>
  </si>
  <si>
    <t>General Insurance</t>
  </si>
  <si>
    <t>Advertising &amp; Promotion</t>
  </si>
  <si>
    <t>Entertainment &amp; Travel</t>
  </si>
  <si>
    <t>Pest Control</t>
  </si>
  <si>
    <t>Twine, Netwrap, Plastic Sub-Total</t>
  </si>
  <si>
    <t>Twine/Netwrap</t>
  </si>
  <si>
    <t>Custom Grazing Income</t>
  </si>
  <si>
    <t>Standing Hay</t>
  </si>
  <si>
    <t>Hauling/Trucking</t>
  </si>
  <si>
    <t>Phone/Cell/Internet</t>
  </si>
  <si>
    <t>Power/Natural Gas</t>
  </si>
  <si>
    <t>Netwrap</t>
  </si>
  <si>
    <t>Transfers to Main Herd, Feeder</t>
  </si>
  <si>
    <t>Twine</t>
  </si>
  <si>
    <t>Custom Work - Manure Cleaning</t>
  </si>
  <si>
    <t>Gravel/Yard Maintenance</t>
  </si>
  <si>
    <t>Auto Licenses</t>
  </si>
  <si>
    <t>Additional Revenue Sources</t>
  </si>
  <si>
    <t>OTHER REVENUES</t>
  </si>
  <si>
    <t>Total Production Value</t>
  </si>
  <si>
    <t>Starting Value of Replacements</t>
  </si>
  <si>
    <t xml:space="preserve">Utilities </t>
  </si>
  <si>
    <t xml:space="preserve">Margin </t>
  </si>
  <si>
    <t>Pounds Gained</t>
  </si>
  <si>
    <t>ADG (lbs/day)</t>
  </si>
  <si>
    <t># of Feeding Days</t>
  </si>
  <si>
    <t>$/lb. Of Gain</t>
  </si>
  <si>
    <t>Starting Value of Retained Calves</t>
  </si>
  <si>
    <t>Feeder Sales</t>
  </si>
  <si>
    <t>Sales</t>
  </si>
  <si>
    <t>BACKGROUNDERS - COST OF PRODUCTION</t>
  </si>
  <si>
    <t>$/Acre</t>
  </si>
  <si>
    <t>Acres</t>
  </si>
  <si>
    <t>$/Tonne</t>
  </si>
  <si>
    <t>Total Production</t>
  </si>
  <si>
    <t>Tonnes</t>
  </si>
  <si>
    <t>Expenses</t>
  </si>
  <si>
    <t>$/Bale</t>
  </si>
  <si>
    <t>STEP 3</t>
  </si>
  <si>
    <t>to</t>
  </si>
  <si>
    <t>My accounting year runs from</t>
  </si>
  <si>
    <t># Exposed</t>
  </si>
  <si>
    <t>Bull Turn Out</t>
  </si>
  <si>
    <t>Bull Pull Date</t>
  </si>
  <si>
    <t>Calving Start Date</t>
  </si>
  <si>
    <t>Actual Calving Start</t>
  </si>
  <si>
    <t>Weaning Date</t>
  </si>
  <si>
    <t>Pasture Turn Out</t>
  </si>
  <si>
    <t>Winter Feeding Resumes</t>
  </si>
  <si>
    <t>Jan 1 Count</t>
  </si>
  <si>
    <t>This year was specified in the 'About My Ranch' tab.</t>
  </si>
  <si>
    <t># Bred</t>
  </si>
  <si>
    <t>Live Births</t>
  </si>
  <si>
    <t>Were any cows purchased with calves at side before weaning?</t>
  </si>
  <si>
    <t>Steer/ Bull Calves</t>
  </si>
  <si>
    <t>Heifer Calves</t>
  </si>
  <si>
    <t># of head</t>
  </si>
  <si>
    <t>Weaned</t>
  </si>
  <si>
    <t># SOLD AT WEANING</t>
  </si>
  <si>
    <t># RETAINED TO BACKGROUND</t>
  </si>
  <si>
    <t>STEER &amp; BULL CALVES</t>
  </si>
  <si>
    <t>HEIFER CALVES</t>
  </si>
  <si>
    <t># RETAINED FOR HERDSIRE</t>
  </si>
  <si>
    <t># RETAINED AS REPL. HEIFER</t>
  </si>
  <si>
    <t>Avg Weight (lbs)</t>
  </si>
  <si>
    <t>Avg Value ($/lb)</t>
  </si>
  <si>
    <t>Only enter two dates if 1st calf heifers had calves weaned earlier than rest of herd.</t>
  </si>
  <si>
    <t>CULL COWS</t>
  </si>
  <si>
    <t>BRED COWS</t>
  </si>
  <si>
    <t>CULL BULLS</t>
  </si>
  <si>
    <t>Total Gross $ Received</t>
  </si>
  <si>
    <t>SALES REVENUES</t>
  </si>
  <si>
    <t>BREEDING STOCK PURCHASES</t>
  </si>
  <si>
    <t>$ Paid</t>
  </si>
  <si>
    <t>HERDSIRES</t>
  </si>
  <si>
    <t>Total $ Paid</t>
  </si>
  <si>
    <t>If purchased with calves at side, be sure to include calves in Step 4.</t>
  </si>
  <si>
    <t>AMOUNT</t>
  </si>
  <si>
    <t>VALUE</t>
  </si>
  <si>
    <t>HOMEGROWN FEED</t>
  </si>
  <si>
    <t>PURCHASED FEED</t>
  </si>
  <si>
    <t>$ PAID</t>
  </si>
  <si>
    <t>DEEDED GRAZING LANDS</t>
  </si>
  <si>
    <t>RENTED, LEASED, COMMUNITY PASTURE</t>
  </si>
  <si>
    <t>$ Value</t>
  </si>
  <si>
    <t>DETAILS</t>
  </si>
  <si>
    <t>Barley</t>
  </si>
  <si>
    <t>Do not include salt &amp; mineral here. This expense will be added in EXPENSES TAB.</t>
  </si>
  <si>
    <t>for Replacements Born In</t>
  </si>
  <si>
    <t># Opens Sold</t>
  </si>
  <si>
    <t># Breds Sold</t>
  </si>
  <si>
    <t>$/hd Value</t>
  </si>
  <si>
    <t>Wean Date</t>
  </si>
  <si>
    <t>OPEN HEIFERS</t>
  </si>
  <si>
    <t>BRED HEIFERS</t>
  </si>
  <si>
    <t>OPEN HEIFER PURCHASES</t>
  </si>
  <si>
    <t>Avg $/hd</t>
  </si>
  <si>
    <t># Transfer to Mainherd</t>
  </si>
  <si>
    <t>Opening Inventory</t>
  </si>
  <si>
    <t>and sold in</t>
  </si>
  <si>
    <t>for Backgrounders born in</t>
  </si>
  <si>
    <t>Transfer to Grass</t>
  </si>
  <si>
    <t>Avg Weight</t>
  </si>
  <si>
    <t>Total Revenue</t>
  </si>
  <si>
    <t>Cash Expenses</t>
  </si>
  <si>
    <t>Total Expenses</t>
  </si>
  <si>
    <t>Cash Income</t>
  </si>
  <si>
    <t>Contribution Margin</t>
  </si>
  <si>
    <t>Return to Equity</t>
  </si>
  <si>
    <t>Definitions:</t>
  </si>
  <si>
    <t>CONTRIBUTION MARGIN = TOTAL SALES - VARIABLE COSTS</t>
  </si>
  <si>
    <t>RETURN TO EQUITY = TOTAL REVENUE - TOTAL EXPENSES</t>
  </si>
  <si>
    <t>Lease Machinery, etc.</t>
  </si>
  <si>
    <t>Cash Revenue is sales of calves &amp; culls; Total Revenue is sales &amp; transfer values of calves.</t>
  </si>
  <si>
    <t>AUTO CALCULATES FROM Transfer Date entered in Backgrounder_InputForm</t>
  </si>
  <si>
    <t>For any grassers put on finishing diet, what date did that change occur?</t>
  </si>
  <si>
    <t>GRASSERS</t>
  </si>
  <si>
    <t>GRASSER PURCHASES</t>
  </si>
  <si>
    <t>In from Bckgrdr</t>
  </si>
  <si>
    <t>In from Grassers</t>
  </si>
  <si>
    <t>FEEDER PURCHASES</t>
  </si>
  <si>
    <t>FED STEER/HEIFER</t>
  </si>
  <si>
    <t>AUTO CALCULATES FROM Transfer Date entered for Backgrounder Enterprise</t>
  </si>
  <si>
    <t>AUTO CALCULATES FROM Transfer Date entered for Grasser Enterprise</t>
  </si>
  <si>
    <t>Start of Feeding</t>
  </si>
  <si>
    <t>Start of Feed (Grassers)</t>
  </si>
  <si>
    <t>Acres Sown</t>
  </si>
  <si>
    <t>Wheat</t>
  </si>
  <si>
    <t>Canola</t>
  </si>
  <si>
    <t>Units</t>
  </si>
  <si>
    <t>Unit Range</t>
  </si>
  <si>
    <t>Bushel Equivalents Per Tonne</t>
  </si>
  <si>
    <t>GRAIN</t>
  </si>
  <si>
    <t>Oats</t>
  </si>
  <si>
    <t>Rye</t>
  </si>
  <si>
    <t>Flaxseed</t>
  </si>
  <si>
    <t>Corn</t>
  </si>
  <si>
    <t>Soybeans</t>
  </si>
  <si>
    <t>Peas</t>
  </si>
  <si>
    <t>Buckwheat</t>
  </si>
  <si>
    <t>Mustard Seed</t>
  </si>
  <si>
    <t>Canary Seed</t>
  </si>
  <si>
    <t>Sunflower Seed</t>
  </si>
  <si>
    <t>Bushel Weight</t>
  </si>
  <si>
    <t>Bushels per Tonne</t>
  </si>
  <si>
    <t>Faba Beans</t>
  </si>
  <si>
    <t>Triticale</t>
  </si>
  <si>
    <t>Beans</t>
  </si>
  <si>
    <t xml:space="preserve">CROP </t>
  </si>
  <si>
    <t>Edit the crops to match those grown on your operation.</t>
  </si>
  <si>
    <t>Market Value</t>
  </si>
  <si>
    <t>per Bushel</t>
  </si>
  <si>
    <t>per Tonne</t>
  </si>
  <si>
    <t>per Ton</t>
  </si>
  <si>
    <t>Amount Sold or Priced (tonnes)</t>
  </si>
  <si>
    <t>Price</t>
  </si>
  <si>
    <t>Estimated Market Value</t>
  </si>
  <si>
    <t>Unpriced Inventory (tonnes)</t>
  </si>
  <si>
    <t>Unit Choice</t>
  </si>
  <si>
    <t>Unit Choice 2</t>
  </si>
  <si>
    <t>per Lb</t>
  </si>
  <si>
    <t>Value Priced</t>
  </si>
  <si>
    <t>Value Unpriced</t>
  </si>
  <si>
    <t>Alfalfa</t>
  </si>
  <si>
    <t>Brome-Alfalfa</t>
  </si>
  <si>
    <t>Owned</t>
  </si>
  <si>
    <t>Rented</t>
  </si>
  <si>
    <t>Leased</t>
  </si>
  <si>
    <t>Total Acres</t>
  </si>
  <si>
    <t>PASTURE ACRES</t>
  </si>
  <si>
    <t>Total</t>
  </si>
  <si>
    <t>Barley Greenfeed</t>
  </si>
  <si>
    <t>Bales</t>
  </si>
  <si>
    <t>Bale Wt (Lbs)</t>
  </si>
  <si>
    <t>Forage Units</t>
  </si>
  <si>
    <t>Straw</t>
  </si>
  <si>
    <t>Forage Unit Price</t>
  </si>
  <si>
    <t>per Bale</t>
  </si>
  <si>
    <t>Pricing Unit</t>
  </si>
  <si>
    <t>Yield Unit</t>
  </si>
  <si>
    <t>Yield Total</t>
  </si>
  <si>
    <t>Value Total</t>
  </si>
  <si>
    <t>Forage Type</t>
  </si>
  <si>
    <t>FORAGE</t>
  </si>
  <si>
    <r>
      <t xml:space="preserve">REVENUE </t>
    </r>
    <r>
      <rPr>
        <b/>
        <i/>
        <sz val="12"/>
        <color theme="0"/>
        <rFont val="Calibri"/>
        <family val="2"/>
        <scheme val="minor"/>
      </rPr>
      <t>(provide details)</t>
    </r>
  </si>
  <si>
    <t>POWERED MACHINERY</t>
  </si>
  <si>
    <t>% Allocated</t>
  </si>
  <si>
    <t>NON-POWERED MACHINERY</t>
  </si>
  <si>
    <t>FORAGE TYPE</t>
  </si>
  <si>
    <t>Identify your ENTERPRISES</t>
  </si>
  <si>
    <t>STEP 1</t>
  </si>
  <si>
    <t>Replacement Heifer</t>
  </si>
  <si>
    <t>Backgrounder</t>
  </si>
  <si>
    <t>Finisher</t>
  </si>
  <si>
    <t>Hay/Forage</t>
  </si>
  <si>
    <t>Grazing/Pasture</t>
  </si>
  <si>
    <t>Place an "X" beside all that apply.</t>
  </si>
  <si>
    <t>X</t>
  </si>
  <si>
    <t>Please specify</t>
  </si>
  <si>
    <t>STEP 2</t>
  </si>
  <si>
    <t>Which year is this analysis for?</t>
  </si>
  <si>
    <t>Calf Crop Year</t>
  </si>
  <si>
    <t>Herd Sires</t>
  </si>
  <si>
    <t># Bought</t>
  </si>
  <si>
    <t># Sold</t>
  </si>
  <si>
    <t>1st Calvers</t>
  </si>
  <si>
    <t>Transfer In</t>
  </si>
  <si>
    <t>TAXES, INSURANCE, LICENSES</t>
  </si>
  <si>
    <t>CROPPING INPUTS</t>
  </si>
  <si>
    <t>Cropping Inputs Sub-Total</t>
  </si>
  <si>
    <t>TWINE, NETWRAP, SISAL, ETC</t>
  </si>
  <si>
    <t>Forage Insurance</t>
  </si>
  <si>
    <t>Livestock Insurance</t>
  </si>
  <si>
    <t>INTEREST &amp; BANK CHARGES</t>
  </si>
  <si>
    <t>Bank Charges</t>
  </si>
  <si>
    <t>ALLOCATION OF SHARED EXPENSES ACROSS ENTERPRISES</t>
  </si>
  <si>
    <t>Bull Rental</t>
  </si>
  <si>
    <t>Semen Purchases</t>
  </si>
  <si>
    <t>Association &amp; Membership Fees</t>
  </si>
  <si>
    <t>Levies</t>
  </si>
  <si>
    <t>Property taxes</t>
  </si>
  <si>
    <t>Gas</t>
  </si>
  <si>
    <t>Diesel</t>
  </si>
  <si>
    <t>Oil, Filters</t>
  </si>
  <si>
    <t>Labourer #1</t>
  </si>
  <si>
    <t>Labourer #2</t>
  </si>
  <si>
    <t>Sold</t>
  </si>
  <si>
    <t>Backgrounded</t>
  </si>
  <si>
    <t>Retained</t>
  </si>
  <si>
    <t>Value of Weaned Calves</t>
  </si>
  <si>
    <t>Pounds of Weaned Calf</t>
  </si>
  <si>
    <t># of Cows Wintered</t>
  </si>
  <si>
    <t>Depreciation = Beg. Herd Value - (End Herd Value - Purchases) - Sales</t>
  </si>
  <si>
    <t>Beg Value</t>
  </si>
  <si>
    <t>End Value</t>
  </si>
  <si>
    <t># of Head Transferred to Cow Herd</t>
  </si>
  <si>
    <t># of Breds Sold</t>
  </si>
  <si>
    <t># of Opens Sold</t>
  </si>
  <si>
    <t>This is auto-calculated based on 282 d gestation</t>
  </si>
  <si>
    <t># of calves born live</t>
  </si>
  <si>
    <r>
      <t xml:space="preserve"># of head. </t>
    </r>
    <r>
      <rPr>
        <i/>
        <sz val="12"/>
        <color rgb="FFFF0000"/>
        <rFont val="Calibri"/>
        <family val="2"/>
        <scheme val="minor"/>
      </rPr>
      <t>Auto calculates.</t>
    </r>
  </si>
  <si>
    <t>Marketing Commissions, Deductions</t>
  </si>
  <si>
    <t>Backgrounding Details</t>
  </si>
  <si>
    <t>Bought</t>
  </si>
  <si>
    <t>Date onto feed</t>
  </si>
  <si>
    <t>Sale Date 1</t>
  </si>
  <si>
    <t>Sale Date 2</t>
  </si>
  <si>
    <t>Sale Date 3</t>
  </si>
  <si>
    <t>Days on Feed</t>
  </si>
  <si>
    <t>Total Hd Days</t>
  </si>
  <si>
    <t>Total/AVG</t>
  </si>
  <si>
    <t>Date</t>
  </si>
  <si>
    <t>Weight Gain</t>
  </si>
  <si>
    <t>Lbs In</t>
  </si>
  <si>
    <t>Lbs Out</t>
  </si>
  <si>
    <t>To Grass</t>
  </si>
  <si>
    <t>To Feedlot</t>
  </si>
  <si>
    <t>Total Lbs In</t>
  </si>
  <si>
    <t>Total Lbs Out</t>
  </si>
  <si>
    <t>Sale Wts</t>
  </si>
  <si>
    <t>Grass Wts</t>
  </si>
  <si>
    <t>Feedlot Wts</t>
  </si>
  <si>
    <t>Operating Interest &amp; Banking Charges</t>
  </si>
  <si>
    <t>Trucking, Deductions, Levies, Commissions</t>
  </si>
  <si>
    <t>Grasser Details</t>
  </si>
  <si>
    <t>Date onto Grass</t>
  </si>
  <si>
    <t>In Date</t>
  </si>
  <si>
    <t>Bought Date</t>
  </si>
  <si>
    <t>Average In Date</t>
  </si>
  <si>
    <t>Sale date 3</t>
  </si>
  <si>
    <t>Days on Grass</t>
  </si>
  <si>
    <t>Total Lbs</t>
  </si>
  <si>
    <t>LBS GAINED</t>
  </si>
  <si>
    <t>Trucking, Commissions, Levies, etc</t>
  </si>
  <si>
    <t>PER LB OF WEANED CALF</t>
  </si>
  <si>
    <t>$/lb Value</t>
  </si>
  <si>
    <t>FEEDERS</t>
  </si>
  <si>
    <t>Sale Date</t>
  </si>
  <si>
    <t>BCKGRDR PURCHASES</t>
  </si>
  <si>
    <t>BACKGROUNDERS</t>
  </si>
  <si>
    <t>FEEDSTUFF</t>
  </si>
  <si>
    <t>For any backgrounders kept for grassing, what date were they turned out to pasture?</t>
  </si>
  <si>
    <t>Transfer to Feedlot</t>
  </si>
  <si>
    <t>For any backgrounders put on finishing diet, what date did that change occur?</t>
  </si>
  <si>
    <t>for Grassers born in</t>
  </si>
  <si>
    <t>Grass Turnout</t>
  </si>
  <si>
    <t>Total Value of Production</t>
  </si>
  <si>
    <t>THE UNIT COST OF PRODUCTION FOR MY FORAGE IS</t>
  </si>
  <si>
    <t>PER TONNE</t>
  </si>
  <si>
    <t>Total Deeded Acres</t>
  </si>
  <si>
    <t>Total Rented Acres</t>
  </si>
  <si>
    <t>Total Leased Acres</t>
  </si>
  <si>
    <t>THE UNIT COST OF PRODUCTION FOR MY FINISHERS IS</t>
  </si>
  <si>
    <t>FINISHERS - COST OF PRODUCTION</t>
  </si>
  <si>
    <t># of Head into Feedlot</t>
  </si>
  <si>
    <t>Fed Sales</t>
  </si>
  <si>
    <t>Sales/Transfer to Feedlot</t>
  </si>
  <si>
    <t>Starting Value of Feeders</t>
  </si>
  <si>
    <t>Feeder Purchases</t>
  </si>
  <si>
    <t>Feed</t>
  </si>
  <si>
    <t>$/Hd/Day</t>
  </si>
  <si>
    <t>FINISHER Details</t>
  </si>
  <si>
    <t>AVG IN DATE</t>
  </si>
  <si>
    <t>Total Days</t>
  </si>
  <si>
    <t>Total Pasture Acres</t>
  </si>
  <si>
    <t>GRAZING DAYS</t>
  </si>
  <si>
    <t>TOTAL GRAZING DAYS</t>
  </si>
  <si>
    <t>Bulls</t>
  </si>
  <si>
    <t>lbs</t>
  </si>
  <si>
    <t xml:space="preserve">    Cows, 1st Calvers, Bulls</t>
  </si>
  <si>
    <t>Taxes, Insurance, Licenses</t>
  </si>
  <si>
    <t>REVENUE</t>
  </si>
  <si>
    <t>Unpriced - Estimated Value</t>
  </si>
  <si>
    <t>Sold or Priced</t>
  </si>
  <si>
    <t>TOTAL REVENUE/VALUE</t>
  </si>
  <si>
    <t>Total Seeded Acres</t>
  </si>
  <si>
    <t>Total Production (tonnes)</t>
  </si>
  <si>
    <t>MY COWS SHOULD BE PAYING ATLEAST THIS PRICE FOR MY HOMEGROWN FORAGE.</t>
  </si>
  <si>
    <t>MY COWS SHOULD BE PAYING ATLEAST THIS PRICE FOR MY HOMEGROWN REPLACEMENTS.</t>
  </si>
  <si>
    <t>THE COST FOR GRAZING ON MY RANCH IS</t>
  </si>
  <si>
    <t>$/HD/DAY</t>
  </si>
  <si>
    <t>MY COWS SHOULD BE PAYING ATLEAST THIS PRICE TO GRAZE GRASS ON MY RANCH.</t>
  </si>
  <si>
    <t>Other Income</t>
  </si>
  <si>
    <t>Crop , Hail &amp; Forage Insurance Premiums</t>
  </si>
  <si>
    <t>WLPIP Insurance Premiums</t>
  </si>
  <si>
    <t>Trucking, Marketing, Levies</t>
  </si>
  <si>
    <t>Pregnancy Percentage</t>
  </si>
  <si>
    <t>YOUR RANCH</t>
  </si>
  <si>
    <t>RATING</t>
  </si>
  <si>
    <t>Percentage Open</t>
  </si>
  <si>
    <t>Culling Percentage</t>
  </si>
  <si>
    <t>SUGGESTED TARGET</t>
  </si>
  <si>
    <t>Calving Percentage</t>
  </si>
  <si>
    <t>Wean Percentage</t>
  </si>
  <si>
    <t>Calf Death Loss</t>
  </si>
  <si>
    <t>Bull:Cow Ratio</t>
  </si>
  <si>
    <t>COW:BULL RATIO</t>
  </si>
  <si>
    <t>Exposed</t>
  </si>
  <si>
    <t>Ratio</t>
  </si>
  <si>
    <t>Winter Feeding Days</t>
  </si>
  <si>
    <t>Breeding Season Length</t>
  </si>
  <si>
    <t>Lbs Weaned/Cow Wintered</t>
  </si>
  <si>
    <t>Calving Distribution</t>
  </si>
  <si>
    <t>Length of Calving Season (days)</t>
  </si>
  <si>
    <t xml:space="preserve">   </t>
  </si>
  <si>
    <t>BUIDLINGS, STORAGE, FENCE, LIVESTOCK EQUIPMENT</t>
  </si>
  <si>
    <t>Sub-Total Building, Livestock Equip, Fence Depreciation</t>
  </si>
  <si>
    <t>Powered Machinery</t>
  </si>
  <si>
    <t>These tables are for the purposes of calculating depreciation - DO NOT ALTER</t>
  </si>
  <si>
    <t>Non-POWERED</t>
  </si>
  <si>
    <t>BUILDINGS, FENCE, LIVESTOCK EQUIPMENT</t>
  </si>
  <si>
    <t>Total Depreciation</t>
  </si>
  <si>
    <t>ALLOCATION OF EXPENSES ACROSS ENTERPRISES</t>
  </si>
  <si>
    <t>BUILDING &amp; FENCING REPAIRS</t>
  </si>
  <si>
    <t>Enter # of calves born per 21 d interval</t>
  </si>
  <si>
    <t xml:space="preserve">Date of Last Calf  </t>
  </si>
  <si>
    <t xml:space="preserve">Date of First Calf  </t>
  </si>
  <si>
    <t>1-21</t>
  </si>
  <si>
    <t xml:space="preserve">Cycle 1 (day 1-21) </t>
  </si>
  <si>
    <t>Cycle 2 (day 22-43)</t>
  </si>
  <si>
    <t>22-43</t>
  </si>
  <si>
    <t>44-65</t>
  </si>
  <si>
    <t>+65</t>
  </si>
  <si>
    <t>Cycle 4 (day 65+)</t>
  </si>
  <si>
    <t>Cycle 3 (day 44-65)</t>
  </si>
  <si>
    <t>Calving Distribution Math</t>
  </si>
  <si>
    <t>Home-raised Bulls</t>
  </si>
  <si>
    <t xml:space="preserve"> Ranch-Raised Bulls Born In</t>
  </si>
  <si>
    <t># Sold - Unfit Herdsire</t>
  </si>
  <si>
    <t># Sold to Another Ranch</t>
  </si>
  <si>
    <t>SEMEN TEST FAIL/UNFIT</t>
  </si>
  <si>
    <t>SOLD TO ANOTHER RANCH</t>
  </si>
  <si>
    <t>Year-End Count</t>
  </si>
  <si>
    <t># of Head Transferred to Breeding Herd</t>
  </si>
  <si>
    <t># Sold as Yearling Bulls</t>
  </si>
  <si>
    <t># Sold as Culls</t>
  </si>
  <si>
    <t>Transfers to Breeding Herd</t>
  </si>
  <si>
    <t>Starting Value of Bull Calves</t>
  </si>
  <si>
    <t>THE COST TO DEVELOP MY YEARLING BULLS IS</t>
  </si>
  <si>
    <t>MY BREEDING HERD SHOULD BE PAYING ATLEAST THIS PRICE FOR MY HOMEGROWN BULLS.</t>
  </si>
  <si>
    <t>Bred Heifer/Open Sales/Yearling Bull Sales</t>
  </si>
  <si>
    <t>Ending</t>
  </si>
  <si>
    <t>Beginning</t>
  </si>
  <si>
    <t>Winter Feeding Start</t>
  </si>
  <si>
    <t>Feed Costs per Wintered Female</t>
  </si>
  <si>
    <t>Winter Feed per Replacement</t>
  </si>
  <si>
    <t>Winter Feed per Backgrounder</t>
  </si>
  <si>
    <t>Stock trailer repairs</t>
  </si>
  <si>
    <t>Pick up truck repairs</t>
  </si>
  <si>
    <t>Baler repairs</t>
  </si>
  <si>
    <t>Small tools</t>
  </si>
  <si>
    <t>Custom - Hauling bales</t>
  </si>
  <si>
    <t>Tractor repairs</t>
  </si>
  <si>
    <t>Custom Grazing Revenues</t>
  </si>
  <si>
    <t>Sales Unit</t>
  </si>
  <si>
    <t>General Livestock Supplies (RFID tags, etc)</t>
  </si>
  <si>
    <t>Formulas</t>
  </si>
  <si>
    <t># Females Bred / # Females Exposed</t>
  </si>
  <si>
    <t># Females Open/ # Females Exposed</t>
  </si>
  <si>
    <t># Females Culled / Jan 1 Female Count</t>
  </si>
  <si>
    <t># Live Calves / # Females Bred</t>
  </si>
  <si>
    <t># Calves Weaned / # Females Exposed</t>
  </si>
  <si>
    <t>Amt Sold Off-Farm</t>
  </si>
  <si>
    <t>$ Total Received</t>
  </si>
  <si>
    <t>Off-Farm Sales</t>
  </si>
  <si>
    <t>Sold Total</t>
  </si>
  <si>
    <t>On-farm</t>
  </si>
  <si>
    <t>Revised On-farm value</t>
  </si>
  <si>
    <t>Off-Farm Forage Sales</t>
  </si>
  <si>
    <t>Edit to match forages on your operation.</t>
  </si>
  <si>
    <t>UNIT COST OF PRODUCTION FOR MY COW-CALF ENTERPRISE IS</t>
  </si>
  <si>
    <t>THE COST TO DEVELOP MY REPLACEMENT HEIFERS IS</t>
  </si>
  <si>
    <t>PER HEAD</t>
  </si>
  <si>
    <t>PER LB OF GAIN</t>
  </si>
  <si>
    <t>THE UNIT COST OF PRODUCTION FOR MY BACKGROUNDERS IS</t>
  </si>
  <si>
    <t>THE UNIT COST OF PRODUCTION FOR MY GRASSERS IS</t>
  </si>
  <si>
    <t>Total Forage Acres</t>
  </si>
  <si>
    <t>Total Tonnes Produced</t>
  </si>
  <si>
    <t>Average Value ($/tonne)</t>
  </si>
  <si>
    <t>Total Bales Produced</t>
  </si>
</sst>
</file>

<file path=xl/styles.xml><?xml version="1.0" encoding="utf-8"?>
<styleSheet xmlns="http://schemas.openxmlformats.org/spreadsheetml/2006/main">
  <numFmts count="9">
    <numFmt numFmtId="164" formatCode="&quot;$&quot;#,##0.00"/>
    <numFmt numFmtId="165" formatCode="&quot;$&quot;#,##0"/>
    <numFmt numFmtId="166" formatCode="_-&quot;$&quot;* #,##0.00_-;\-&quot;$&quot;* #,##0.00_-;_-&quot;$&quot;* &quot;-&quot;??_-;_-@_-"/>
    <numFmt numFmtId="167" formatCode="_(&quot;$&quot;* #,##0_);_(&quot;$&quot;* \(#,##0\);_(&quot;$&quot;* &quot;-&quot;??_);_(@_)"/>
    <numFmt numFmtId="168" formatCode="&quot;$&quot;#,##0.000"/>
    <numFmt numFmtId="169" formatCode="_(* #,##0_);_(* \(#,##0\);_(* &quot;-&quot;??_);_(@_)"/>
    <numFmt numFmtId="170" formatCode="[$-409]d\-mmm\-yy;@"/>
    <numFmt numFmtId="171" formatCode="0.0"/>
    <numFmt numFmtId="172" formatCode="0.0%"/>
  </numFmts>
  <fonts count="117">
    <font>
      <sz val="11"/>
      <color theme="1"/>
      <name val="Calibri"/>
      <family val="2"/>
      <scheme val="minor"/>
    </font>
    <font>
      <b/>
      <sz val="11"/>
      <color theme="1"/>
      <name val="Calibri"/>
      <family val="2"/>
      <scheme val="minor"/>
    </font>
    <font>
      <b/>
      <sz val="14"/>
      <color rgb="FFFF0000"/>
      <name val="Calibri"/>
      <family val="2"/>
      <scheme val="minor"/>
    </font>
    <font>
      <b/>
      <sz val="11"/>
      <name val="Calibri"/>
      <family val="2"/>
      <scheme val="minor"/>
    </font>
    <font>
      <sz val="11"/>
      <color theme="1"/>
      <name val="Calibri"/>
      <family val="2"/>
      <scheme val="minor"/>
    </font>
    <font>
      <sz val="11"/>
      <color rgb="FFFF0000"/>
      <name val="Calibri"/>
      <family val="2"/>
      <scheme val="minor"/>
    </font>
    <font>
      <sz val="10"/>
      <name val="Arial"/>
      <family val="2"/>
    </font>
    <font>
      <sz val="10"/>
      <name val="Arial"/>
      <family val="2"/>
    </font>
    <font>
      <b/>
      <sz val="10"/>
      <name val="Arial"/>
      <family val="2"/>
    </font>
    <font>
      <b/>
      <sz val="12"/>
      <color rgb="FFFF0000"/>
      <name val="Calibri"/>
      <family val="2"/>
      <scheme val="minor"/>
    </font>
    <font>
      <b/>
      <sz val="12"/>
      <color theme="1"/>
      <name val="Calibri"/>
      <family val="2"/>
      <scheme val="minor"/>
    </font>
    <font>
      <sz val="11"/>
      <name val="Calibri"/>
      <family val="2"/>
      <scheme val="minor"/>
    </font>
    <font>
      <b/>
      <sz val="10"/>
      <name val="Calibri"/>
      <family val="2"/>
      <scheme val="minor"/>
    </font>
    <font>
      <sz val="10"/>
      <name val="Calibri"/>
      <family val="2"/>
      <scheme val="minor"/>
    </font>
    <font>
      <b/>
      <sz val="11"/>
      <color indexed="10"/>
      <name val="Calibri"/>
      <family val="2"/>
      <scheme val="minor"/>
    </font>
    <font>
      <i/>
      <sz val="11"/>
      <color rgb="FFFF0000"/>
      <name val="Calibri"/>
      <family val="2"/>
      <scheme val="minor"/>
    </font>
    <font>
      <sz val="9"/>
      <color indexed="81"/>
      <name val="Tahoma"/>
      <family val="2"/>
    </font>
    <font>
      <b/>
      <sz val="9"/>
      <color indexed="81"/>
      <name val="Tahoma"/>
      <family val="2"/>
    </font>
    <font>
      <sz val="11"/>
      <color indexed="10"/>
      <name val="Calibri"/>
      <family val="2"/>
      <scheme val="minor"/>
    </font>
    <font>
      <sz val="11"/>
      <name val="Arial"/>
      <family val="2"/>
    </font>
    <font>
      <b/>
      <sz val="10"/>
      <color indexed="10"/>
      <name val="Arial"/>
      <family val="2"/>
    </font>
    <font>
      <sz val="10"/>
      <color indexed="10"/>
      <name val="Arial"/>
      <family val="2"/>
    </font>
    <font>
      <vertAlign val="superscript"/>
      <sz val="10"/>
      <name val="Arial"/>
      <family val="2"/>
    </font>
    <font>
      <b/>
      <sz val="18"/>
      <color theme="3" tint="-0.249977111117893"/>
      <name val="Arial"/>
      <family val="2"/>
    </font>
    <font>
      <b/>
      <sz val="18"/>
      <color theme="3" tint="-0.249977111117893"/>
      <name val="Calibri"/>
      <family val="2"/>
      <scheme val="minor"/>
    </font>
    <font>
      <b/>
      <sz val="11"/>
      <color rgb="FFFF0000"/>
      <name val="Calibri"/>
      <family val="2"/>
      <scheme val="minor"/>
    </font>
    <font>
      <b/>
      <i/>
      <sz val="11"/>
      <color rgb="FFFF0000"/>
      <name val="Calibri"/>
      <family val="2"/>
      <scheme val="minor"/>
    </font>
    <font>
      <sz val="11"/>
      <color theme="1" tint="0.14999847407452621"/>
      <name val="Calibri"/>
      <family val="2"/>
      <scheme val="minor"/>
    </font>
    <font>
      <b/>
      <sz val="11"/>
      <color theme="1" tint="0.14999847407452621"/>
      <name val="Calibri"/>
      <family val="2"/>
      <scheme val="minor"/>
    </font>
    <font>
      <sz val="11"/>
      <color theme="1" tint="0.249977111117893"/>
      <name val="Calibri"/>
      <family val="2"/>
      <scheme val="minor"/>
    </font>
    <font>
      <b/>
      <sz val="11"/>
      <color theme="1" tint="0.249977111117893"/>
      <name val="Calibri"/>
      <family val="2"/>
      <scheme val="minor"/>
    </font>
    <font>
      <sz val="11"/>
      <color theme="1" tint="0.34998626667073579"/>
      <name val="Calibri"/>
      <family val="2"/>
      <scheme val="minor"/>
    </font>
    <font>
      <b/>
      <sz val="11"/>
      <color theme="1" tint="0.34998626667073579"/>
      <name val="Calibri"/>
      <family val="2"/>
      <scheme val="minor"/>
    </font>
    <font>
      <b/>
      <sz val="22"/>
      <color theme="1" tint="0.249977111117893"/>
      <name val="Calibri"/>
      <family val="2"/>
      <scheme val="minor"/>
    </font>
    <font>
      <b/>
      <sz val="12"/>
      <color theme="1" tint="0.249977111117893"/>
      <name val="Calibri"/>
      <family val="2"/>
      <scheme val="minor"/>
    </font>
    <font>
      <b/>
      <sz val="22"/>
      <color theme="1" tint="0.34998626667073579"/>
      <name val="Calibri"/>
      <family val="2"/>
      <scheme val="minor"/>
    </font>
    <font>
      <b/>
      <sz val="12"/>
      <color theme="1" tint="0.34998626667073579"/>
      <name val="Calibri"/>
      <family val="2"/>
      <scheme val="minor"/>
    </font>
    <font>
      <sz val="10"/>
      <color theme="1" tint="0.34998626667073579"/>
      <name val="Calibri"/>
      <family val="2"/>
      <scheme val="minor"/>
    </font>
    <font>
      <b/>
      <sz val="14"/>
      <color theme="1" tint="0.34998626667073579"/>
      <name val="Calibri"/>
      <family val="2"/>
      <scheme val="minor"/>
    </font>
    <font>
      <sz val="12"/>
      <color theme="1" tint="0.34998626667073579"/>
      <name val="Calibri"/>
      <family val="2"/>
      <scheme val="minor"/>
    </font>
    <font>
      <i/>
      <sz val="12"/>
      <color theme="1" tint="0.34998626667073579"/>
      <name val="Calibri"/>
      <family val="2"/>
      <scheme val="minor"/>
    </font>
    <font>
      <i/>
      <sz val="11"/>
      <color theme="1" tint="0.34998626667073579"/>
      <name val="Calibri"/>
      <family val="2"/>
      <scheme val="minor"/>
    </font>
    <font>
      <b/>
      <sz val="12"/>
      <color theme="1" tint="0.14999847407452621"/>
      <name val="Calibri"/>
      <family val="2"/>
      <scheme val="minor"/>
    </font>
    <font>
      <sz val="14"/>
      <color theme="1" tint="0.34998626667073579"/>
      <name val="Calibri"/>
      <family val="2"/>
      <scheme val="minor"/>
    </font>
    <font>
      <b/>
      <sz val="14"/>
      <color theme="1" tint="0.249977111117893"/>
      <name val="Calibri"/>
      <family val="2"/>
      <scheme val="minor"/>
    </font>
    <font>
      <sz val="12"/>
      <color theme="1" tint="0.249977111117893"/>
      <name val="Calibri"/>
      <family val="2"/>
      <scheme val="minor"/>
    </font>
    <font>
      <sz val="14"/>
      <color theme="1" tint="0.249977111117893"/>
      <name val="Calibri"/>
      <family val="2"/>
      <scheme val="minor"/>
    </font>
    <font>
      <b/>
      <sz val="22"/>
      <color rgb="FFFF0000"/>
      <name val="Calibri"/>
      <family val="2"/>
      <scheme val="minor"/>
    </font>
    <font>
      <b/>
      <sz val="14"/>
      <color theme="1" tint="0.14999847407452621"/>
      <name val="Calibri"/>
      <family val="2"/>
      <scheme val="minor"/>
    </font>
    <font>
      <sz val="10"/>
      <color theme="1" tint="0.249977111117893"/>
      <name val="Calibri"/>
      <family val="2"/>
      <scheme val="minor"/>
    </font>
    <font>
      <sz val="11"/>
      <color theme="0" tint="-0.34998626667073579"/>
      <name val="Calibri"/>
      <family val="2"/>
      <scheme val="minor"/>
    </font>
    <font>
      <sz val="10"/>
      <color theme="0" tint="-0.34998626667073579"/>
      <name val="Calibri"/>
      <family val="2"/>
      <scheme val="minor"/>
    </font>
    <font>
      <b/>
      <sz val="11"/>
      <color theme="0" tint="-0.34998626667073579"/>
      <name val="Calibri"/>
      <family val="2"/>
      <scheme val="minor"/>
    </font>
    <font>
      <sz val="12"/>
      <color theme="1" tint="0.14999847407452621"/>
      <name val="Calibri"/>
      <family val="2"/>
      <scheme val="minor"/>
    </font>
    <font>
      <b/>
      <sz val="20"/>
      <color theme="3" tint="-0.249977111117893"/>
      <name val="Calibri"/>
      <family val="2"/>
      <scheme val="minor"/>
    </font>
    <font>
      <i/>
      <sz val="10"/>
      <name val="Arial"/>
      <family val="2"/>
    </font>
    <font>
      <b/>
      <sz val="14"/>
      <name val="Calibri"/>
      <family val="2"/>
      <scheme val="minor"/>
    </font>
    <font>
      <b/>
      <sz val="14"/>
      <color rgb="FF122B4A"/>
      <name val="Calibri"/>
      <family val="2"/>
      <scheme val="minor"/>
    </font>
    <font>
      <b/>
      <sz val="14"/>
      <color rgb="FF1F1448"/>
      <name val="Calibri"/>
      <family val="2"/>
      <scheme val="minor"/>
    </font>
    <font>
      <b/>
      <sz val="20"/>
      <color rgb="FF56A12D"/>
      <name val="Calibri"/>
      <family val="2"/>
      <scheme val="minor"/>
    </font>
    <font>
      <i/>
      <sz val="11"/>
      <color theme="1"/>
      <name val="Calibri"/>
      <family val="2"/>
      <scheme val="minor"/>
    </font>
    <font>
      <b/>
      <sz val="12"/>
      <color rgb="FF1F1448"/>
      <name val="Calibri"/>
      <family val="2"/>
      <scheme val="minor"/>
    </font>
    <font>
      <i/>
      <sz val="9"/>
      <color theme="1"/>
      <name val="Calibri"/>
      <family val="2"/>
      <scheme val="minor"/>
    </font>
    <font>
      <sz val="22"/>
      <color rgb="FFFF0000"/>
      <name val="Calibri"/>
      <family val="2"/>
      <scheme val="minor"/>
    </font>
    <font>
      <b/>
      <sz val="22"/>
      <color rgb="FF56A12D"/>
      <name val="Calibri"/>
      <family val="2"/>
      <scheme val="minor"/>
    </font>
    <font>
      <i/>
      <sz val="11"/>
      <color theme="0" tint="-0.499984740745262"/>
      <name val="Calibri"/>
      <family val="2"/>
      <scheme val="minor"/>
    </font>
    <font>
      <b/>
      <sz val="20"/>
      <color rgb="FF122B4A"/>
      <name val="Calibri"/>
      <family val="2"/>
      <scheme val="minor"/>
    </font>
    <font>
      <b/>
      <sz val="18"/>
      <color theme="0" tint="-0.499984740745262"/>
      <name val="Calibri"/>
      <family val="2"/>
      <scheme val="minor"/>
    </font>
    <font>
      <sz val="12"/>
      <color rgb="FFFF0000"/>
      <name val="Calibri"/>
      <family val="2"/>
      <scheme val="minor"/>
    </font>
    <font>
      <b/>
      <sz val="12"/>
      <color theme="0"/>
      <name val="Calibri"/>
      <family val="2"/>
      <scheme val="minor"/>
    </font>
    <font>
      <b/>
      <sz val="12"/>
      <color theme="0" tint="-0.499984740745262"/>
      <name val="Calibri"/>
      <family val="2"/>
      <scheme val="minor"/>
    </font>
    <font>
      <sz val="11"/>
      <color theme="0"/>
      <name val="Calibri"/>
      <family val="2"/>
      <scheme val="minor"/>
    </font>
    <font>
      <b/>
      <sz val="14"/>
      <color theme="0"/>
      <name val="Calibri"/>
      <family val="2"/>
      <scheme val="minor"/>
    </font>
    <font>
      <b/>
      <sz val="22"/>
      <color theme="0"/>
      <name val="Calibri"/>
      <family val="2"/>
      <scheme val="minor"/>
    </font>
    <font>
      <i/>
      <sz val="11"/>
      <color theme="0"/>
      <name val="Calibri"/>
      <family val="2"/>
      <scheme val="minor"/>
    </font>
    <font>
      <b/>
      <sz val="20"/>
      <color theme="1" tint="0.34998626667073579"/>
      <name val="Calibri"/>
      <family val="2"/>
      <scheme val="minor"/>
    </font>
    <font>
      <b/>
      <sz val="18"/>
      <color theme="1" tint="0.34998626667073579"/>
      <name val="Calibri"/>
      <family val="2"/>
      <scheme val="minor"/>
    </font>
    <font>
      <b/>
      <sz val="16"/>
      <color theme="1" tint="0.34998626667073579"/>
      <name val="Calibri"/>
      <family val="2"/>
      <scheme val="minor"/>
    </font>
    <font>
      <b/>
      <sz val="14"/>
      <color rgb="FF56A12D"/>
      <name val="Calibri"/>
      <family val="2"/>
      <scheme val="minor"/>
    </font>
    <font>
      <sz val="14"/>
      <color rgb="FFFF0000"/>
      <name val="Calibri"/>
      <family val="2"/>
      <scheme val="minor"/>
    </font>
    <font>
      <b/>
      <i/>
      <sz val="14"/>
      <color rgb="FFFF0000"/>
      <name val="Calibri"/>
      <family val="2"/>
      <scheme val="minor"/>
    </font>
    <font>
      <i/>
      <sz val="14"/>
      <color theme="1" tint="0.249977111117893"/>
      <name val="Calibri"/>
      <family val="2"/>
      <scheme val="minor"/>
    </font>
    <font>
      <i/>
      <sz val="14"/>
      <color theme="0"/>
      <name val="Calibri"/>
      <family val="2"/>
      <scheme val="minor"/>
    </font>
    <font>
      <b/>
      <sz val="9"/>
      <color rgb="FFFF0000"/>
      <name val="Calibri"/>
      <family val="2"/>
      <scheme val="minor"/>
    </font>
    <font>
      <b/>
      <sz val="20"/>
      <color theme="0"/>
      <name val="Calibri"/>
      <family val="2"/>
      <scheme val="minor"/>
    </font>
    <font>
      <b/>
      <sz val="18"/>
      <color rgb="FF122B4A"/>
      <name val="Calibri"/>
      <family val="2"/>
      <scheme val="minor"/>
    </font>
    <font>
      <b/>
      <sz val="11"/>
      <color theme="0"/>
      <name val="Calibri"/>
      <family val="2"/>
      <scheme val="minor"/>
    </font>
    <font>
      <sz val="14"/>
      <color theme="1"/>
      <name val="Calibri"/>
      <family val="2"/>
      <scheme val="minor"/>
    </font>
    <font>
      <b/>
      <sz val="18"/>
      <color theme="1"/>
      <name val="Calibri"/>
      <family val="2"/>
      <scheme val="minor"/>
    </font>
    <font>
      <i/>
      <sz val="10"/>
      <color theme="0" tint="-0.499984740745262"/>
      <name val="Calibri"/>
      <family val="2"/>
      <scheme val="minor"/>
    </font>
    <font>
      <b/>
      <sz val="14"/>
      <color theme="1" tint="0.499984740745262"/>
      <name val="Calibri"/>
      <family val="2"/>
      <scheme val="minor"/>
    </font>
    <font>
      <b/>
      <i/>
      <sz val="12"/>
      <color theme="0"/>
      <name val="Calibri"/>
      <family val="2"/>
      <scheme val="minor"/>
    </font>
    <font>
      <i/>
      <sz val="11"/>
      <color theme="1" tint="0.249977111117893"/>
      <name val="Calibri"/>
      <family val="2"/>
      <scheme val="minor"/>
    </font>
    <font>
      <b/>
      <sz val="22"/>
      <color rgb="FF1F1448"/>
      <name val="Calibri"/>
      <family val="2"/>
      <scheme val="minor"/>
    </font>
    <font>
      <i/>
      <sz val="12"/>
      <color rgb="FFFF0000"/>
      <name val="Calibri"/>
      <family val="2"/>
      <scheme val="minor"/>
    </font>
    <font>
      <b/>
      <sz val="10"/>
      <color rgb="FFFF0000"/>
      <name val="Calibri"/>
      <family val="2"/>
      <scheme val="minor"/>
    </font>
    <font>
      <sz val="11"/>
      <color theme="1" tint="0.499984740745262"/>
      <name val="Calibri"/>
      <family val="2"/>
      <scheme val="minor"/>
    </font>
    <font>
      <sz val="14"/>
      <color theme="1" tint="0.499984740745262"/>
      <name val="Calibri"/>
      <family val="2"/>
      <scheme val="minor"/>
    </font>
    <font>
      <b/>
      <sz val="9"/>
      <color indexed="10"/>
      <name val="Arial"/>
      <family val="2"/>
    </font>
    <font>
      <b/>
      <sz val="10"/>
      <color indexed="12"/>
      <name val="Arial"/>
      <family val="2"/>
    </font>
    <font>
      <sz val="14"/>
      <name val="Calibri"/>
      <family val="2"/>
      <scheme val="minor"/>
    </font>
    <font>
      <i/>
      <sz val="14"/>
      <color theme="1" tint="0.34998626667073579"/>
      <name val="Calibri"/>
      <family val="2"/>
      <scheme val="minor"/>
    </font>
    <font>
      <i/>
      <sz val="11"/>
      <color theme="0" tint="-0.34998626667073579"/>
      <name val="Calibri"/>
      <family val="2"/>
      <scheme val="minor"/>
    </font>
    <font>
      <b/>
      <sz val="10"/>
      <color theme="2"/>
      <name val="Arial"/>
      <family val="2"/>
    </font>
    <font>
      <b/>
      <sz val="14"/>
      <color theme="2"/>
      <name val="Calibri"/>
      <family val="2"/>
      <scheme val="minor"/>
    </font>
    <font>
      <b/>
      <sz val="12"/>
      <color indexed="12"/>
      <name val="Calibri"/>
      <family val="2"/>
      <scheme val="minor"/>
    </font>
    <font>
      <b/>
      <sz val="10"/>
      <color theme="0"/>
      <name val="Calibri"/>
      <family val="2"/>
      <scheme val="minor"/>
    </font>
    <font>
      <b/>
      <sz val="9"/>
      <color theme="0"/>
      <name val="Calibri"/>
      <family val="2"/>
      <scheme val="minor"/>
    </font>
    <font>
      <i/>
      <sz val="14"/>
      <color rgb="FFFF0000"/>
      <name val="Calibri"/>
      <family val="2"/>
      <scheme val="minor"/>
    </font>
    <font>
      <b/>
      <i/>
      <sz val="14"/>
      <color theme="1" tint="0.14999847407452621"/>
      <name val="Calibri"/>
      <family val="2"/>
      <scheme val="minor"/>
    </font>
    <font>
      <i/>
      <sz val="12"/>
      <color theme="1" tint="0.249977111117893"/>
      <name val="Calibri"/>
      <family val="2"/>
      <scheme val="minor"/>
    </font>
    <font>
      <b/>
      <i/>
      <sz val="14"/>
      <color theme="1" tint="0.34998626667073579"/>
      <name val="Calibri"/>
      <family val="2"/>
      <scheme val="minor"/>
    </font>
    <font>
      <b/>
      <i/>
      <sz val="18"/>
      <color theme="1" tint="0.249977111117893"/>
      <name val="Calibri"/>
      <family val="2"/>
      <scheme val="minor"/>
    </font>
    <font>
      <i/>
      <sz val="14"/>
      <color theme="1" tint="0.499984740745262"/>
      <name val="Calibri"/>
      <family val="2"/>
      <scheme val="minor"/>
    </font>
    <font>
      <b/>
      <sz val="16"/>
      <color theme="0"/>
      <name val="Calibri"/>
      <family val="2"/>
      <scheme val="minor"/>
    </font>
    <font>
      <i/>
      <sz val="10"/>
      <color rgb="FFFF0000"/>
      <name val="Calibri"/>
      <family val="2"/>
      <scheme val="minor"/>
    </font>
    <font>
      <sz val="8"/>
      <name val="Verdana"/>
      <family val="2"/>
    </font>
  </fonts>
  <fills count="10">
    <fill>
      <patternFill patternType="none"/>
    </fill>
    <fill>
      <patternFill patternType="gray125"/>
    </fill>
    <fill>
      <patternFill patternType="solid">
        <fgColor rgb="FF56A12D"/>
        <bgColor indexed="64"/>
      </patternFill>
    </fill>
    <fill>
      <patternFill patternType="solid">
        <fgColor rgb="FF1F1448"/>
        <bgColor indexed="64"/>
      </patternFill>
    </fill>
    <fill>
      <patternFill patternType="solid">
        <fgColor rgb="FF92D050"/>
        <bgColor indexed="64"/>
      </patternFill>
    </fill>
    <fill>
      <patternFill patternType="solid">
        <fgColor rgb="FFFF99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1F1448"/>
      </left>
      <right style="thin">
        <color rgb="FF1F1448"/>
      </right>
      <top style="thin">
        <color rgb="FF1F1448"/>
      </top>
      <bottom style="thin">
        <color rgb="FF1F1448"/>
      </bottom>
      <diagonal/>
    </border>
    <border>
      <left/>
      <right/>
      <top/>
      <bottom style="thin">
        <color rgb="FF1F1448"/>
      </bottom>
      <diagonal/>
    </border>
    <border>
      <left style="thin">
        <color indexed="64"/>
      </left>
      <right/>
      <top/>
      <bottom style="thin">
        <color indexed="64"/>
      </bottom>
      <diagonal/>
    </border>
  </borders>
  <cellStyleXfs count="9">
    <xf numFmtId="0" fontId="0" fillId="0" borderId="0"/>
    <xf numFmtId="0" fontId="6" fillId="0" borderId="0"/>
    <xf numFmtId="9"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0" fontId="7"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930">
    <xf numFmtId="0" fontId="0" fillId="0" borderId="0" xfId="0"/>
    <xf numFmtId="0" fontId="1" fillId="0" borderId="0" xfId="0" applyFont="1"/>
    <xf numFmtId="0" fontId="0" fillId="0" borderId="0" xfId="0" applyAlignment="1">
      <alignment horizontal="center"/>
    </xf>
    <xf numFmtId="0" fontId="0" fillId="0" borderId="0" xfId="0" applyBorder="1"/>
    <xf numFmtId="0" fontId="5" fillId="0" borderId="0" xfId="0" applyFont="1"/>
    <xf numFmtId="0" fontId="3" fillId="0" borderId="0" xfId="1" applyFont="1"/>
    <xf numFmtId="0" fontId="11" fillId="0" borderId="0" xfId="1" applyFont="1"/>
    <xf numFmtId="0" fontId="11" fillId="0" borderId="0" xfId="1" applyFont="1" applyAlignment="1">
      <alignment horizontal="center"/>
    </xf>
    <xf numFmtId="0" fontId="14" fillId="0" borderId="0" xfId="1" applyFont="1"/>
    <xf numFmtId="0" fontId="3" fillId="0" borderId="0" xfId="1" applyFont="1" applyAlignment="1">
      <alignment horizontal="center"/>
    </xf>
    <xf numFmtId="0" fontId="18" fillId="0" borderId="0" xfId="1" applyFont="1" applyAlignment="1">
      <alignment horizontal="center"/>
    </xf>
    <xf numFmtId="1" fontId="11" fillId="0" borderId="0" xfId="1" applyNumberFormat="1" applyFont="1" applyAlignment="1">
      <alignment horizontal="center"/>
    </xf>
    <xf numFmtId="9" fontId="11" fillId="0" borderId="0" xfId="2" applyFont="1" applyAlignment="1">
      <alignment horizontal="center"/>
    </xf>
    <xf numFmtId="165" fontId="11" fillId="0" borderId="0" xfId="1" applyNumberFormat="1" applyFont="1" applyAlignment="1">
      <alignment horizontal="center"/>
    </xf>
    <xf numFmtId="164" fontId="11" fillId="0" borderId="0" xfId="1" applyNumberFormat="1" applyFont="1" applyAlignment="1">
      <alignment horizontal="center"/>
    </xf>
    <xf numFmtId="165" fontId="3" fillId="0" borderId="0" xfId="1" applyNumberFormat="1" applyFont="1" applyAlignment="1">
      <alignment horizontal="center"/>
    </xf>
    <xf numFmtId="164" fontId="3" fillId="0" borderId="0" xfId="1" applyNumberFormat="1" applyFont="1" applyAlignment="1">
      <alignment horizontal="center"/>
    </xf>
    <xf numFmtId="0" fontId="3" fillId="0" borderId="0" xfId="5" applyFont="1"/>
    <xf numFmtId="0" fontId="11" fillId="0" borderId="0" xfId="5" applyFont="1"/>
    <xf numFmtId="0" fontId="13" fillId="0" borderId="0" xfId="5" applyFont="1"/>
    <xf numFmtId="3" fontId="11" fillId="0" borderId="0" xfId="5" applyNumberFormat="1" applyFont="1" applyAlignment="1">
      <alignment horizontal="center"/>
    </xf>
    <xf numFmtId="4" fontId="11" fillId="0" borderId="0" xfId="5" applyNumberFormat="1" applyFont="1" applyAlignment="1">
      <alignment horizontal="center"/>
    </xf>
    <xf numFmtId="0" fontId="3" fillId="0" borderId="0" xfId="5" applyFont="1" applyAlignment="1">
      <alignment horizontal="center"/>
    </xf>
    <xf numFmtId="165" fontId="11" fillId="0" borderId="0" xfId="3" applyNumberFormat="1" applyFont="1" applyAlignment="1">
      <alignment horizontal="center"/>
    </xf>
    <xf numFmtId="0" fontId="11" fillId="0" borderId="0" xfId="5" applyFont="1" applyAlignment="1">
      <alignment horizontal="center"/>
    </xf>
    <xf numFmtId="165" fontId="11" fillId="0" borderId="0" xfId="5" applyNumberFormat="1" applyFont="1" applyAlignment="1">
      <alignment horizontal="center"/>
    </xf>
    <xf numFmtId="164" fontId="11" fillId="0" borderId="0" xfId="5" applyNumberFormat="1" applyFont="1" applyAlignment="1">
      <alignment horizontal="center"/>
    </xf>
    <xf numFmtId="2" fontId="3" fillId="0" borderId="0" xfId="5" applyNumberFormat="1" applyFont="1" applyAlignment="1">
      <alignment horizontal="center"/>
    </xf>
    <xf numFmtId="165" fontId="3" fillId="0" borderId="0" xfId="5" applyNumberFormat="1" applyFont="1" applyAlignment="1">
      <alignment horizontal="center"/>
    </xf>
    <xf numFmtId="164" fontId="3" fillId="0" borderId="0" xfId="5" applyNumberFormat="1" applyFont="1" applyAlignment="1">
      <alignment horizontal="center"/>
    </xf>
    <xf numFmtId="0" fontId="12" fillId="0" borderId="0" xfId="5" applyFont="1"/>
    <xf numFmtId="2" fontId="11" fillId="0" borderId="0" xfId="5" applyNumberFormat="1" applyFont="1" applyAlignment="1">
      <alignment horizontal="center"/>
    </xf>
    <xf numFmtId="168" fontId="11" fillId="0" borderId="0" xfId="5" applyNumberFormat="1" applyFont="1" applyAlignment="1">
      <alignment horizontal="center"/>
    </xf>
    <xf numFmtId="168" fontId="3" fillId="0" borderId="0" xfId="5" applyNumberFormat="1" applyFont="1" applyAlignment="1">
      <alignment horizontal="center"/>
    </xf>
    <xf numFmtId="0" fontId="0" fillId="0" borderId="2" xfId="0" applyBorder="1"/>
    <xf numFmtId="0" fontId="8" fillId="0" borderId="0" xfId="1" applyFont="1"/>
    <xf numFmtId="0" fontId="8" fillId="0" borderId="0" xfId="1" applyFont="1" applyAlignment="1">
      <alignment horizontal="center"/>
    </xf>
    <xf numFmtId="0" fontId="6" fillId="0" borderId="0" xfId="1" applyFont="1"/>
    <xf numFmtId="0" fontId="6" fillId="0" borderId="0" xfId="1" applyFont="1" applyFill="1" applyBorder="1"/>
    <xf numFmtId="0" fontId="19" fillId="0" borderId="0" xfId="1" applyFont="1"/>
    <xf numFmtId="0" fontId="6" fillId="0" borderId="0" xfId="1"/>
    <xf numFmtId="0" fontId="8" fillId="0" borderId="0" xfId="1" applyFont="1" applyAlignment="1">
      <alignment horizontal="left"/>
    </xf>
    <xf numFmtId="2" fontId="8" fillId="0" borderId="0" xfId="1" applyNumberFormat="1" applyFont="1"/>
    <xf numFmtId="2" fontId="8" fillId="0" borderId="0" xfId="1" applyNumberFormat="1" applyFont="1" applyAlignment="1">
      <alignment horizontal="center"/>
    </xf>
    <xf numFmtId="165" fontId="6" fillId="0" borderId="0" xfId="1" applyNumberFormat="1" applyFont="1" applyAlignment="1">
      <alignment horizontal="center"/>
    </xf>
    <xf numFmtId="0" fontId="6" fillId="0" borderId="0" xfId="1" applyFont="1" applyAlignment="1">
      <alignment horizontal="center"/>
    </xf>
    <xf numFmtId="164" fontId="6" fillId="0" borderId="0" xfId="1" applyNumberFormat="1" applyFont="1" applyAlignment="1">
      <alignment horizontal="center"/>
    </xf>
    <xf numFmtId="165" fontId="8" fillId="0" borderId="0" xfId="1" applyNumberFormat="1" applyFont="1" applyAlignment="1">
      <alignment horizontal="center"/>
    </xf>
    <xf numFmtId="164" fontId="8" fillId="0" borderId="0" xfId="1" applyNumberFormat="1" applyFont="1" applyAlignment="1">
      <alignment horizontal="center"/>
    </xf>
    <xf numFmtId="1" fontId="19" fillId="0" borderId="0" xfId="1" applyNumberFormat="1" applyFont="1" applyAlignment="1">
      <alignment horizontal="center"/>
    </xf>
    <xf numFmtId="0" fontId="21" fillId="0" borderId="0" xfId="1" applyFont="1" applyAlignment="1">
      <alignment horizontal="center"/>
    </xf>
    <xf numFmtId="2" fontId="6" fillId="0" borderId="0" xfId="1" applyNumberFormat="1" applyFont="1"/>
    <xf numFmtId="2" fontId="6" fillId="0" borderId="0" xfId="1" applyNumberFormat="1" applyFont="1" applyAlignment="1">
      <alignment horizontal="center"/>
    </xf>
    <xf numFmtId="0" fontId="22" fillId="0" borderId="0" xfId="1" applyFont="1"/>
    <xf numFmtId="0" fontId="6" fillId="0" borderId="0" xfId="1" applyAlignment="1">
      <alignment horizontal="center"/>
    </xf>
    <xf numFmtId="1" fontId="8" fillId="0" borderId="0" xfId="1" applyNumberFormat="1" applyFont="1" applyAlignment="1">
      <alignment horizontal="center"/>
    </xf>
    <xf numFmtId="0" fontId="6" fillId="0" borderId="0" xfId="1" applyFont="1" applyFill="1" applyAlignment="1">
      <alignment horizontal="center"/>
    </xf>
    <xf numFmtId="0" fontId="24" fillId="0" borderId="0" xfId="1" applyFont="1"/>
    <xf numFmtId="0" fontId="24" fillId="0" borderId="0" xfId="5" applyFont="1"/>
    <xf numFmtId="0" fontId="23" fillId="0" borderId="0" xfId="1" applyFont="1"/>
    <xf numFmtId="167" fontId="8" fillId="0" borderId="0" xfId="6" applyNumberFormat="1" applyFont="1" applyAlignment="1">
      <alignment horizontal="center"/>
    </xf>
    <xf numFmtId="4" fontId="8" fillId="0" borderId="0" xfId="1" applyNumberFormat="1" applyFont="1" applyAlignment="1">
      <alignment horizontal="center"/>
    </xf>
    <xf numFmtId="0" fontId="29" fillId="0" borderId="0" xfId="0" applyFont="1"/>
    <xf numFmtId="0" fontId="33" fillId="0" borderId="0" xfId="0" applyFont="1" applyFill="1"/>
    <xf numFmtId="0" fontId="29" fillId="0" borderId="0" xfId="0" applyFont="1" applyFill="1"/>
    <xf numFmtId="0" fontId="30" fillId="0" borderId="0" xfId="0" applyFont="1" applyFill="1" applyBorder="1" applyAlignment="1">
      <alignment horizontal="center"/>
    </xf>
    <xf numFmtId="0" fontId="30" fillId="0" borderId="1" xfId="0" applyFont="1" applyFill="1" applyBorder="1" applyAlignment="1">
      <alignment horizontal="center"/>
    </xf>
    <xf numFmtId="0" fontId="30" fillId="0" borderId="0" xfId="0" applyFont="1" applyFill="1"/>
    <xf numFmtId="0" fontId="29" fillId="0" borderId="0" xfId="0" applyFont="1" applyFill="1" applyBorder="1"/>
    <xf numFmtId="165" fontId="30" fillId="0" borderId="0" xfId="0" applyNumberFormat="1" applyFont="1" applyFill="1" applyBorder="1" applyAlignment="1">
      <alignment horizontal="center"/>
    </xf>
    <xf numFmtId="0" fontId="29" fillId="0" borderId="1" xfId="0" applyFont="1" applyFill="1" applyBorder="1" applyAlignment="1">
      <alignment horizontal="center"/>
    </xf>
    <xf numFmtId="0" fontId="29" fillId="0" borderId="0" xfId="0" applyFont="1" applyFill="1" applyAlignment="1">
      <alignment horizontal="center"/>
    </xf>
    <xf numFmtId="0" fontId="35" fillId="0" borderId="0" xfId="0" applyFont="1" applyFill="1"/>
    <xf numFmtId="0" fontId="31" fillId="0" borderId="0" xfId="0" applyFont="1" applyFill="1" applyAlignment="1">
      <alignment horizontal="center"/>
    </xf>
    <xf numFmtId="0" fontId="31" fillId="0" borderId="0" xfId="0" applyFont="1" applyFill="1"/>
    <xf numFmtId="0" fontId="32" fillId="0" borderId="0" xfId="0" applyFont="1" applyFill="1"/>
    <xf numFmtId="165" fontId="32" fillId="0" borderId="0" xfId="0" applyNumberFormat="1" applyFont="1" applyFill="1" applyAlignment="1">
      <alignment horizontal="center"/>
    </xf>
    <xf numFmtId="0" fontId="32" fillId="0" borderId="0" xfId="0" applyFont="1" applyFill="1" applyBorder="1"/>
    <xf numFmtId="0" fontId="31" fillId="0" borderId="0" xfId="0" applyFont="1" applyFill="1" applyBorder="1" applyAlignment="1">
      <alignment horizontal="center"/>
    </xf>
    <xf numFmtId="0" fontId="39" fillId="0" borderId="0" xfId="0" applyFont="1" applyFill="1" applyAlignment="1">
      <alignment horizontal="center"/>
    </xf>
    <xf numFmtId="0" fontId="39" fillId="0" borderId="0" xfId="0" applyFont="1" applyFill="1"/>
    <xf numFmtId="0" fontId="32" fillId="0" borderId="0" xfId="0" applyFont="1" applyFill="1" applyAlignment="1">
      <alignment horizontal="center"/>
    </xf>
    <xf numFmtId="1" fontId="32" fillId="0" borderId="0" xfId="0" applyNumberFormat="1" applyFont="1" applyFill="1" applyBorder="1" applyAlignment="1">
      <alignment horizontal="center"/>
    </xf>
    <xf numFmtId="0" fontId="39" fillId="0" borderId="0" xfId="0" applyFont="1" applyFill="1" applyBorder="1" applyAlignment="1">
      <alignment horizontal="center"/>
    </xf>
    <xf numFmtId="0" fontId="43" fillId="0" borderId="0" xfId="0" applyFont="1" applyFill="1" applyAlignment="1">
      <alignment horizontal="right"/>
    </xf>
    <xf numFmtId="0" fontId="43" fillId="0" borderId="0" xfId="0" applyFont="1" applyFill="1"/>
    <xf numFmtId="0" fontId="44" fillId="0" borderId="0" xfId="0" applyFont="1" applyFill="1"/>
    <xf numFmtId="0" fontId="44" fillId="0" borderId="0" xfId="0" applyFont="1" applyFill="1" applyBorder="1"/>
    <xf numFmtId="0" fontId="29" fillId="0" borderId="0" xfId="0" applyFont="1" applyFill="1" applyBorder="1" applyAlignment="1">
      <alignment horizontal="center"/>
    </xf>
    <xf numFmtId="0" fontId="44" fillId="0" borderId="0" xfId="0" applyFont="1" applyFill="1" applyBorder="1" applyAlignment="1">
      <alignment horizontal="center"/>
    </xf>
    <xf numFmtId="0" fontId="33" fillId="0" borderId="0" xfId="0" applyFont="1" applyFill="1" applyBorder="1"/>
    <xf numFmtId="165" fontId="29" fillId="0" borderId="0" xfId="0" applyNumberFormat="1" applyFont="1" applyFill="1" applyBorder="1" applyAlignment="1">
      <alignment horizontal="center"/>
    </xf>
    <xf numFmtId="165" fontId="29" fillId="0" borderId="1" xfId="0" applyNumberFormat="1" applyFont="1" applyFill="1" applyBorder="1" applyAlignment="1">
      <alignment horizontal="center"/>
    </xf>
    <xf numFmtId="0" fontId="47" fillId="0" borderId="0" xfId="0" applyFont="1" applyFill="1" applyAlignment="1">
      <alignment vertical="center"/>
    </xf>
    <xf numFmtId="0" fontId="46" fillId="0" borderId="0" xfId="0" applyFont="1" applyFill="1" applyBorder="1" applyAlignment="1">
      <alignment horizontal="right" vertical="center"/>
    </xf>
    <xf numFmtId="0" fontId="30" fillId="0" borderId="0" xfId="0" applyFont="1" applyFill="1" applyBorder="1"/>
    <xf numFmtId="165" fontId="49" fillId="0" borderId="0" xfId="0" applyNumberFormat="1" applyFont="1" applyFill="1"/>
    <xf numFmtId="0" fontId="30" fillId="0" borderId="0" xfId="0" applyFont="1" applyFill="1" applyAlignment="1">
      <alignment horizontal="right"/>
    </xf>
    <xf numFmtId="165" fontId="30" fillId="0" borderId="0" xfId="0" applyNumberFormat="1" applyFont="1" applyFill="1" applyAlignment="1">
      <alignment horizontal="center"/>
    </xf>
    <xf numFmtId="0" fontId="33" fillId="0" borderId="0" xfId="0" applyFont="1" applyFill="1" applyBorder="1" applyAlignment="1">
      <alignment vertical="center"/>
    </xf>
    <xf numFmtId="0" fontId="34" fillId="0" borderId="0" xfId="0" applyFont="1" applyFill="1" applyBorder="1"/>
    <xf numFmtId="0" fontId="30" fillId="0" borderId="0" xfId="0" applyFont="1" applyFill="1" applyBorder="1" applyAlignment="1">
      <alignment horizontal="center" wrapText="1"/>
    </xf>
    <xf numFmtId="0" fontId="30" fillId="0" borderId="1" xfId="0" applyFont="1" applyFill="1" applyBorder="1"/>
    <xf numFmtId="0" fontId="50" fillId="0" borderId="0" xfId="0" applyFont="1" applyFill="1"/>
    <xf numFmtId="0" fontId="51" fillId="0" borderId="0" xfId="0" applyFont="1" applyFill="1" applyAlignment="1">
      <alignment horizontal="right"/>
    </xf>
    <xf numFmtId="165" fontId="51" fillId="0" borderId="0" xfId="0" applyNumberFormat="1" applyFont="1" applyFill="1" applyAlignment="1">
      <alignment horizontal="right"/>
    </xf>
    <xf numFmtId="0" fontId="52" fillId="0" borderId="0" xfId="0" applyFont="1" applyFill="1"/>
    <xf numFmtId="165" fontId="31" fillId="0" borderId="1" xfId="0" applyNumberFormat="1" applyFont="1" applyFill="1" applyBorder="1" applyAlignment="1" applyProtection="1">
      <alignment horizontal="center" wrapText="1"/>
    </xf>
    <xf numFmtId="0" fontId="11" fillId="0" borderId="0" xfId="5" applyFont="1" applyAlignment="1">
      <alignment horizontal="right"/>
    </xf>
    <xf numFmtId="0" fontId="8" fillId="0" borderId="0" xfId="1" applyFont="1" applyAlignment="1">
      <alignment horizontal="center" wrapText="1"/>
    </xf>
    <xf numFmtId="0" fontId="13" fillId="0" borderId="0" xfId="1" applyFont="1"/>
    <xf numFmtId="0" fontId="13" fillId="0" borderId="0" xfId="1" applyFont="1" applyAlignment="1">
      <alignment horizontal="center"/>
    </xf>
    <xf numFmtId="0" fontId="12" fillId="0" borderId="0" xfId="1" applyFont="1" applyAlignment="1">
      <alignment horizontal="center"/>
    </xf>
    <xf numFmtId="0" fontId="25" fillId="0" borderId="0" xfId="1" applyFont="1" applyAlignment="1">
      <alignment horizontal="left"/>
    </xf>
    <xf numFmtId="0" fontId="11" fillId="0" borderId="0" xfId="1" applyFont="1" applyAlignment="1">
      <alignment horizontal="right"/>
    </xf>
    <xf numFmtId="0" fontId="11" fillId="0" borderId="0" xfId="1" applyFont="1" applyFill="1" applyAlignment="1">
      <alignment horizontal="center"/>
    </xf>
    <xf numFmtId="2" fontId="3" fillId="0" borderId="0" xfId="1" applyNumberFormat="1" applyFont="1" applyAlignment="1">
      <alignment horizontal="center"/>
    </xf>
    <xf numFmtId="165" fontId="11" fillId="0" borderId="0" xfId="1" applyNumberFormat="1" applyFont="1"/>
    <xf numFmtId="169" fontId="3" fillId="0" borderId="0" xfId="7" applyNumberFormat="1" applyFont="1" applyFill="1" applyAlignment="1">
      <alignment horizontal="center"/>
    </xf>
    <xf numFmtId="0" fontId="10" fillId="0" borderId="2" xfId="0" applyFont="1" applyBorder="1"/>
    <xf numFmtId="0" fontId="10" fillId="0" borderId="2" xfId="0" applyFont="1" applyBorder="1" applyAlignment="1">
      <alignment horizontal="center" wrapText="1"/>
    </xf>
    <xf numFmtId="0" fontId="10" fillId="0" borderId="2" xfId="0" applyFont="1" applyBorder="1" applyAlignment="1">
      <alignment horizontal="right" wrapText="1"/>
    </xf>
    <xf numFmtId="165" fontId="0" fillId="0" borderId="0" xfId="6" applyNumberFormat="1" applyFont="1"/>
    <xf numFmtId="164" fontId="0" fillId="0" borderId="0" xfId="0" applyNumberFormat="1"/>
    <xf numFmtId="165" fontId="0" fillId="0" borderId="0" xfId="0" applyNumberFormat="1"/>
    <xf numFmtId="165" fontId="0" fillId="0" borderId="2" xfId="0" applyNumberFormat="1" applyBorder="1"/>
    <xf numFmtId="165" fontId="0" fillId="0" borderId="0" xfId="0" applyNumberFormat="1" applyBorder="1"/>
    <xf numFmtId="0" fontId="15" fillId="0" borderId="0" xfId="0" applyFont="1"/>
    <xf numFmtId="165" fontId="1" fillId="0" borderId="0" xfId="0" applyNumberFormat="1" applyFont="1" applyBorder="1"/>
    <xf numFmtId="0" fontId="26" fillId="0" borderId="0" xfId="0" applyFont="1"/>
    <xf numFmtId="0" fontId="10" fillId="0" borderId="0" xfId="0" applyFont="1" applyBorder="1" applyAlignment="1">
      <alignment horizontal="right" wrapText="1"/>
    </xf>
    <xf numFmtId="0" fontId="9" fillId="0" borderId="0" xfId="0" applyFont="1" applyFill="1" applyBorder="1" applyAlignment="1">
      <alignment horizontal="left" wrapText="1"/>
    </xf>
    <xf numFmtId="164" fontId="0" fillId="0" borderId="0" xfId="0" applyNumberFormat="1" applyAlignment="1">
      <alignment horizontal="center"/>
    </xf>
    <xf numFmtId="165" fontId="0" fillId="0" borderId="0" xfId="0" applyNumberFormat="1" applyAlignment="1">
      <alignment horizontal="center"/>
    </xf>
    <xf numFmtId="164" fontId="0" fillId="0" borderId="0" xfId="0" applyNumberFormat="1" applyAlignment="1">
      <alignment horizontal="left"/>
    </xf>
    <xf numFmtId="0" fontId="0" fillId="0" borderId="0" xfId="0" applyAlignment="1">
      <alignment horizontal="left"/>
    </xf>
    <xf numFmtId="165" fontId="0" fillId="0" borderId="0" xfId="0" applyNumberFormat="1" applyAlignment="1">
      <alignment horizontal="left"/>
    </xf>
    <xf numFmtId="0" fontId="19" fillId="0" borderId="0" xfId="1" applyFont="1" applyAlignment="1">
      <alignment horizontal="center"/>
    </xf>
    <xf numFmtId="165" fontId="0" fillId="0" borderId="2" xfId="0" applyNumberFormat="1" applyBorder="1" applyAlignment="1">
      <alignment horizontal="center"/>
    </xf>
    <xf numFmtId="165" fontId="1" fillId="0" borderId="0" xfId="0" applyNumberFormat="1" applyFont="1" applyBorder="1" applyAlignment="1">
      <alignment horizontal="center"/>
    </xf>
    <xf numFmtId="0" fontId="19" fillId="0" borderId="0" xfId="1" applyFont="1" applyBorder="1"/>
    <xf numFmtId="165" fontId="0" fillId="0" borderId="2" xfId="0" applyNumberFormat="1" applyBorder="1" applyAlignment="1">
      <alignment horizontal="left"/>
    </xf>
    <xf numFmtId="0" fontId="10" fillId="0" borderId="0" xfId="0" applyFont="1" applyFill="1" applyBorder="1"/>
    <xf numFmtId="165" fontId="10" fillId="0" borderId="0" xfId="0" applyNumberFormat="1" applyFont="1" applyBorder="1"/>
    <xf numFmtId="0" fontId="48" fillId="0" borderId="2" xfId="0" applyFont="1" applyBorder="1"/>
    <xf numFmtId="0" fontId="27" fillId="0" borderId="2" xfId="0" applyFont="1" applyBorder="1"/>
    <xf numFmtId="0" fontId="27" fillId="0" borderId="0" xfId="0" applyFont="1"/>
    <xf numFmtId="165" fontId="27" fillId="0" borderId="0" xfId="0" applyNumberFormat="1" applyFont="1"/>
    <xf numFmtId="165" fontId="27" fillId="0" borderId="2" xfId="0" applyNumberFormat="1" applyFont="1" applyBorder="1"/>
    <xf numFmtId="0" fontId="28" fillId="0" borderId="0" xfId="0" applyFont="1"/>
    <xf numFmtId="165" fontId="28" fillId="0" borderId="0" xfId="0" applyNumberFormat="1" applyFont="1"/>
    <xf numFmtId="165" fontId="42" fillId="0" borderId="0" xfId="0" applyNumberFormat="1" applyFont="1"/>
    <xf numFmtId="0" fontId="53" fillId="0" borderId="0" xfId="0" applyFont="1"/>
    <xf numFmtId="0" fontId="13" fillId="0" borderId="0" xfId="1" applyFont="1" applyFill="1" applyBorder="1"/>
    <xf numFmtId="0" fontId="11" fillId="0" borderId="0" xfId="1" applyFont="1" applyBorder="1"/>
    <xf numFmtId="0" fontId="0" fillId="0" borderId="0" xfId="0" applyFont="1"/>
    <xf numFmtId="0" fontId="42" fillId="0" borderId="0" xfId="0" applyFont="1"/>
    <xf numFmtId="165" fontId="27" fillId="0" borderId="0" xfId="0" applyNumberFormat="1" applyFont="1" applyAlignment="1">
      <alignment horizontal="right"/>
    </xf>
    <xf numFmtId="165" fontId="27" fillId="0" borderId="2" xfId="0" applyNumberFormat="1" applyFont="1" applyBorder="1" applyAlignment="1">
      <alignment horizontal="right"/>
    </xf>
    <xf numFmtId="165" fontId="42" fillId="0" borderId="0" xfId="0" applyNumberFormat="1" applyFont="1" applyAlignment="1">
      <alignment horizontal="right"/>
    </xf>
    <xf numFmtId="0" fontId="27" fillId="0" borderId="0" xfId="0" applyFont="1" applyAlignment="1">
      <alignment horizontal="right"/>
    </xf>
    <xf numFmtId="0" fontId="4" fillId="0" borderId="0" xfId="0" applyFont="1" applyAlignment="1">
      <alignment horizontal="right"/>
    </xf>
    <xf numFmtId="0" fontId="42" fillId="0" borderId="2" xfId="0" applyFont="1" applyBorder="1" applyAlignment="1">
      <alignment horizontal="right"/>
    </xf>
    <xf numFmtId="0" fontId="42" fillId="0" borderId="2" xfId="0" applyFont="1" applyBorder="1"/>
    <xf numFmtId="0" fontId="42" fillId="0" borderId="0" xfId="0" applyFont="1" applyBorder="1"/>
    <xf numFmtId="0" fontId="0" fillId="0" borderId="0" xfId="0" applyFont="1" applyBorder="1"/>
    <xf numFmtId="0" fontId="0" fillId="0" borderId="2" xfId="0" applyFont="1" applyBorder="1"/>
    <xf numFmtId="0" fontId="42" fillId="0" borderId="0" xfId="0" applyFont="1" applyFill="1" applyBorder="1"/>
    <xf numFmtId="165" fontId="42" fillId="0" borderId="0" xfId="0" applyNumberFormat="1" applyFont="1" applyBorder="1" applyAlignment="1">
      <alignment horizontal="right"/>
    </xf>
    <xf numFmtId="165" fontId="42" fillId="0" borderId="2" xfId="0" applyNumberFormat="1" applyFont="1" applyBorder="1" applyAlignment="1">
      <alignment horizontal="right"/>
    </xf>
    <xf numFmtId="165" fontId="0" fillId="0" borderId="0" xfId="0" applyNumberFormat="1" applyFont="1"/>
    <xf numFmtId="0" fontId="54" fillId="0" borderId="0" xfId="1" applyFont="1"/>
    <xf numFmtId="0" fontId="25" fillId="0" borderId="0" xfId="1" applyFont="1" applyAlignment="1">
      <alignment horizontal="center"/>
    </xf>
    <xf numFmtId="0" fontId="39" fillId="0" borderId="1" xfId="0" applyFont="1" applyFill="1" applyBorder="1" applyAlignment="1" applyProtection="1">
      <alignment horizontal="center"/>
      <protection locked="0"/>
    </xf>
    <xf numFmtId="15" fontId="2" fillId="0" borderId="0" xfId="0" applyNumberFormat="1" applyFont="1" applyFill="1" applyAlignment="1" applyProtection="1">
      <alignment horizontal="center"/>
      <protection locked="0"/>
    </xf>
    <xf numFmtId="15" fontId="39" fillId="0" borderId="1" xfId="0" applyNumberFormat="1" applyFont="1" applyFill="1" applyBorder="1" applyAlignment="1" applyProtection="1">
      <alignment horizontal="center"/>
      <protection locked="0"/>
    </xf>
    <xf numFmtId="0" fontId="29" fillId="0" borderId="1" xfId="0" applyFont="1" applyFill="1" applyBorder="1" applyProtection="1">
      <protection locked="0"/>
    </xf>
    <xf numFmtId="0" fontId="31" fillId="0" borderId="1" xfId="0" applyFont="1" applyFill="1" applyBorder="1" applyProtection="1">
      <protection locked="0"/>
    </xf>
    <xf numFmtId="0" fontId="31" fillId="0" borderId="1" xfId="0" applyFont="1" applyFill="1" applyBorder="1" applyAlignment="1" applyProtection="1">
      <alignment horizontal="center"/>
      <protection locked="0"/>
    </xf>
    <xf numFmtId="0" fontId="29" fillId="0" borderId="1" xfId="0" applyFont="1" applyFill="1" applyBorder="1" applyAlignment="1" applyProtection="1">
      <alignment horizontal="center"/>
      <protection locked="0"/>
    </xf>
    <xf numFmtId="165" fontId="29" fillId="0" borderId="1" xfId="6" applyNumberFormat="1" applyFont="1" applyFill="1" applyBorder="1" applyAlignment="1" applyProtection="1">
      <alignment horizontal="center"/>
      <protection locked="0"/>
    </xf>
    <xf numFmtId="167" fontId="29" fillId="0" borderId="1" xfId="0" applyNumberFormat="1" applyFont="1" applyFill="1" applyBorder="1" applyAlignment="1" applyProtection="1">
      <alignment horizontal="center"/>
      <protection locked="0"/>
    </xf>
    <xf numFmtId="1" fontId="29" fillId="0" borderId="1" xfId="0" applyNumberFormat="1" applyFont="1" applyFill="1" applyBorder="1" applyAlignment="1" applyProtection="1">
      <alignment horizontal="center"/>
      <protection locked="0"/>
    </xf>
    <xf numFmtId="0" fontId="45" fillId="0" borderId="1" xfId="0" applyFont="1" applyFill="1" applyBorder="1" applyProtection="1">
      <protection locked="0"/>
    </xf>
    <xf numFmtId="0" fontId="30" fillId="0" borderId="1" xfId="0" applyFont="1" applyFill="1" applyBorder="1" applyAlignment="1" applyProtection="1">
      <alignment horizontal="center"/>
      <protection locked="0"/>
    </xf>
    <xf numFmtId="167" fontId="29" fillId="0" borderId="1" xfId="6" applyNumberFormat="1" applyFont="1" applyFill="1" applyBorder="1" applyProtection="1">
      <protection locked="0"/>
    </xf>
    <xf numFmtId="165" fontId="29" fillId="0" borderId="1" xfId="0" applyNumberFormat="1" applyFont="1" applyFill="1" applyBorder="1" applyAlignment="1" applyProtection="1">
      <alignment horizontal="center"/>
      <protection locked="0"/>
    </xf>
    <xf numFmtId="1" fontId="2" fillId="0" borderId="0" xfId="0" applyNumberFormat="1" applyFont="1" applyFill="1" applyAlignment="1" applyProtection="1">
      <alignment horizontal="center"/>
      <protection locked="0"/>
    </xf>
    <xf numFmtId="0" fontId="45" fillId="0" borderId="1" xfId="0" applyFont="1" applyFill="1" applyBorder="1" applyAlignment="1" applyProtection="1">
      <alignment vertical="center"/>
      <protection locked="0"/>
    </xf>
    <xf numFmtId="167" fontId="29" fillId="0" borderId="1" xfId="6" applyNumberFormat="1" applyFont="1" applyFill="1" applyBorder="1" applyAlignment="1" applyProtection="1">
      <alignment horizontal="center"/>
      <protection locked="0"/>
    </xf>
    <xf numFmtId="0" fontId="25" fillId="0" borderId="0" xfId="1" applyFont="1"/>
    <xf numFmtId="0" fontId="27" fillId="0" borderId="1" xfId="0" applyFont="1" applyFill="1" applyBorder="1" applyProtection="1">
      <protection locked="0"/>
    </xf>
    <xf numFmtId="167" fontId="29" fillId="0" borderId="0" xfId="6" applyNumberFormat="1" applyFont="1" applyFill="1" applyAlignment="1">
      <alignment horizontal="center"/>
    </xf>
    <xf numFmtId="165" fontId="49" fillId="0" borderId="0" xfId="0" applyNumberFormat="1" applyFont="1" applyFill="1" applyBorder="1"/>
    <xf numFmtId="0" fontId="30" fillId="0" borderId="0" xfId="0" applyFont="1" applyFill="1" applyBorder="1" applyAlignment="1">
      <alignment horizontal="right"/>
    </xf>
    <xf numFmtId="167" fontId="30" fillId="0" borderId="0" xfId="6" applyNumberFormat="1" applyFont="1" applyFill="1" applyBorder="1" applyAlignment="1">
      <alignment horizontal="center"/>
    </xf>
    <xf numFmtId="0" fontId="49" fillId="0" borderId="0" xfId="0" applyFont="1" applyFill="1" applyBorder="1" applyAlignment="1">
      <alignment horizontal="right"/>
    </xf>
    <xf numFmtId="0" fontId="29" fillId="0" borderId="0" xfId="0" applyFont="1" applyFill="1" applyBorder="1" applyAlignment="1" applyProtection="1">
      <alignment horizontal="center"/>
      <protection locked="0"/>
    </xf>
    <xf numFmtId="0" fontId="58" fillId="0" borderId="0" xfId="0" applyFont="1"/>
    <xf numFmtId="0" fontId="59" fillId="0" borderId="0" xfId="0" applyFont="1"/>
    <xf numFmtId="0" fontId="60" fillId="0" borderId="0" xfId="0" applyFont="1"/>
    <xf numFmtId="0" fontId="61" fillId="0" borderId="0" xfId="0" applyFont="1" applyAlignment="1">
      <alignment horizontal="right"/>
    </xf>
    <xf numFmtId="0" fontId="62" fillId="0" borderId="0" xfId="0" applyFont="1"/>
    <xf numFmtId="0" fontId="58" fillId="0" borderId="0" xfId="0" applyFont="1" applyAlignment="1">
      <alignment vertical="center"/>
    </xf>
    <xf numFmtId="0" fontId="65" fillId="0" borderId="0" xfId="0" applyFont="1" applyFill="1" applyAlignment="1">
      <alignment horizontal="left"/>
    </xf>
    <xf numFmtId="0" fontId="64" fillId="0" borderId="0" xfId="0" applyFont="1" applyFill="1" applyBorder="1" applyAlignment="1" applyProtection="1">
      <alignment horizontal="center"/>
    </xf>
    <xf numFmtId="0" fontId="66" fillId="0" borderId="0" xfId="0" applyFont="1" applyFill="1" applyAlignment="1">
      <alignment horizontal="right"/>
    </xf>
    <xf numFmtId="0" fontId="59" fillId="0" borderId="0" xfId="0" applyFont="1" applyAlignment="1">
      <alignment horizontal="right"/>
    </xf>
    <xf numFmtId="0" fontId="67" fillId="0" borderId="0" xfId="0" applyFont="1" applyAlignment="1">
      <alignment horizontal="right"/>
    </xf>
    <xf numFmtId="0" fontId="58" fillId="0" borderId="0" xfId="0" applyFont="1" applyBorder="1" applyAlignment="1">
      <alignment vertical="center"/>
    </xf>
    <xf numFmtId="0" fontId="64" fillId="0" borderId="0" xfId="0" applyFont="1" applyFill="1" applyBorder="1" applyAlignment="1" applyProtection="1">
      <alignment horizontal="center" vertical="center"/>
    </xf>
    <xf numFmtId="0" fontId="65" fillId="0" borderId="0" xfId="0" applyFont="1" applyFill="1" applyBorder="1" applyAlignment="1">
      <alignment horizontal="left" vertical="center"/>
    </xf>
    <xf numFmtId="0" fontId="31" fillId="0" borderId="0" xfId="0" applyFont="1" applyFill="1" applyAlignment="1">
      <alignment vertical="center"/>
    </xf>
    <xf numFmtId="0" fontId="31" fillId="0" borderId="0" xfId="0" applyFont="1" applyFill="1" applyBorder="1" applyAlignment="1">
      <alignment vertical="center"/>
    </xf>
    <xf numFmtId="0" fontId="56" fillId="0" borderId="0" xfId="0" applyFont="1" applyBorder="1" applyAlignment="1">
      <alignment horizontal="center" vertical="center"/>
    </xf>
    <xf numFmtId="0" fontId="57" fillId="0" borderId="0" xfId="0" applyFont="1" applyAlignment="1">
      <alignment horizontal="center"/>
    </xf>
    <xf numFmtId="0" fontId="41" fillId="0" borderId="0" xfId="0" applyFont="1" applyFill="1" applyAlignment="1">
      <alignment horizontal="left"/>
    </xf>
    <xf numFmtId="15" fontId="9" fillId="0" borderId="7" xfId="0" applyNumberFormat="1" applyFont="1" applyFill="1" applyBorder="1" applyAlignment="1" applyProtection="1">
      <alignment horizontal="center"/>
      <protection locked="0"/>
    </xf>
    <xf numFmtId="0" fontId="70" fillId="0" borderId="0" xfId="0" applyFont="1" applyFill="1" applyAlignment="1">
      <alignment horizontal="center" wrapText="1"/>
    </xf>
    <xf numFmtId="0" fontId="40" fillId="0" borderId="0" xfId="0" applyFont="1" applyFill="1" applyAlignment="1">
      <alignment horizontal="left"/>
    </xf>
    <xf numFmtId="0" fontId="32" fillId="0" borderId="0" xfId="0" applyFont="1" applyFill="1" applyAlignment="1"/>
    <xf numFmtId="0" fontId="36" fillId="0" borderId="0" xfId="0" applyFont="1" applyFill="1" applyAlignment="1">
      <alignment horizontal="right"/>
    </xf>
    <xf numFmtId="15" fontId="9" fillId="0" borderId="0" xfId="0" applyNumberFormat="1" applyFont="1" applyFill="1" applyBorder="1" applyAlignment="1" applyProtection="1">
      <alignment horizontal="center"/>
      <protection locked="0"/>
    </xf>
    <xf numFmtId="0" fontId="38" fillId="0" borderId="0" xfId="0" applyFont="1" applyFill="1" applyAlignment="1">
      <alignment horizontal="left"/>
    </xf>
    <xf numFmtId="0" fontId="38" fillId="0" borderId="2" xfId="0" applyFont="1" applyFill="1" applyBorder="1" applyAlignment="1">
      <alignment horizontal="center"/>
    </xf>
    <xf numFmtId="0" fontId="38" fillId="0" borderId="0" xfId="0" applyFont="1" applyFill="1" applyBorder="1" applyAlignment="1">
      <alignment horizontal="center"/>
    </xf>
    <xf numFmtId="1" fontId="9" fillId="0" borderId="7" xfId="0" applyNumberFormat="1" applyFont="1" applyFill="1" applyBorder="1" applyAlignment="1" applyProtection="1">
      <alignment horizontal="center" vertical="center"/>
      <protection locked="0"/>
    </xf>
    <xf numFmtId="165" fontId="9" fillId="0" borderId="7" xfId="0" applyNumberFormat="1" applyFont="1" applyFill="1" applyBorder="1" applyAlignment="1" applyProtection="1">
      <alignment horizontal="center" vertical="center"/>
      <protection locked="0"/>
    </xf>
    <xf numFmtId="1" fontId="68" fillId="0" borderId="0" xfId="0" applyNumberFormat="1" applyFont="1" applyFill="1" applyAlignment="1">
      <alignment horizontal="center" vertical="center"/>
    </xf>
    <xf numFmtId="165" fontId="68" fillId="0" borderId="1" xfId="0" applyNumberFormat="1" applyFont="1" applyFill="1" applyBorder="1" applyAlignment="1" applyProtection="1">
      <alignment horizontal="center" vertical="center"/>
      <protection locked="0"/>
    </xf>
    <xf numFmtId="165" fontId="68" fillId="0" borderId="0" xfId="0" applyNumberFormat="1" applyFont="1" applyFill="1" applyAlignment="1">
      <alignment horizontal="center" vertical="center"/>
    </xf>
    <xf numFmtId="15" fontId="2" fillId="0" borderId="0" xfId="0" applyNumberFormat="1" applyFont="1" applyFill="1" applyBorder="1" applyAlignment="1" applyProtection="1">
      <alignment horizontal="left" vertical="center"/>
      <protection locked="0"/>
    </xf>
    <xf numFmtId="15" fontId="45" fillId="0" borderId="0" xfId="0" applyNumberFormat="1" applyFont="1" applyFill="1" applyBorder="1" applyAlignment="1" applyProtection="1">
      <alignment horizontal="center"/>
      <protection locked="0"/>
    </xf>
    <xf numFmtId="0" fontId="45" fillId="0" borderId="0" xfId="0" applyFont="1" applyFill="1" applyBorder="1" applyAlignment="1" applyProtection="1">
      <alignment horizontal="center"/>
      <protection locked="0"/>
    </xf>
    <xf numFmtId="0" fontId="31" fillId="0" borderId="0" xfId="0" applyFont="1" applyFill="1" applyBorder="1" applyProtection="1">
      <protection locked="0"/>
    </xf>
    <xf numFmtId="0" fontId="31" fillId="0" borderId="0" xfId="0" applyFont="1" applyFill="1" applyBorder="1" applyAlignment="1" applyProtection="1">
      <alignment horizontal="center"/>
      <protection locked="0"/>
    </xf>
    <xf numFmtId="0" fontId="44" fillId="0" borderId="0" xfId="0" applyFont="1" applyFill="1" applyBorder="1" applyAlignment="1">
      <alignment horizontal="center" vertical="center" wrapText="1"/>
    </xf>
    <xf numFmtId="0" fontId="44" fillId="0" borderId="0" xfId="0" applyFont="1" applyFill="1" applyBorder="1" applyAlignment="1">
      <alignment horizontal="center" vertical="center"/>
    </xf>
    <xf numFmtId="0" fontId="29" fillId="0" borderId="0" xfId="0" applyFont="1" applyFill="1" applyBorder="1" applyAlignment="1">
      <alignment vertical="center"/>
    </xf>
    <xf numFmtId="0" fontId="44" fillId="0" borderId="0" xfId="0" applyFont="1" applyFill="1" applyBorder="1" applyAlignment="1">
      <alignment vertical="center" wrapText="1"/>
    </xf>
    <xf numFmtId="0" fontId="45" fillId="0" borderId="0" xfId="0" applyFont="1" applyFill="1" applyBorder="1" applyAlignment="1" applyProtection="1">
      <protection locked="0"/>
    </xf>
    <xf numFmtId="0" fontId="31" fillId="0" borderId="0" xfId="0" applyFont="1" applyFill="1" applyBorder="1" applyAlignment="1" applyProtection="1">
      <protection locked="0"/>
    </xf>
    <xf numFmtId="0" fontId="45" fillId="0" borderId="1" xfId="0" applyFont="1" applyFill="1" applyBorder="1" applyAlignment="1" applyProtection="1">
      <protection locked="0"/>
    </xf>
    <xf numFmtId="0" fontId="31" fillId="0" borderId="1" xfId="0" applyFont="1" applyFill="1" applyBorder="1" applyAlignment="1" applyProtection="1">
      <protection locked="0"/>
    </xf>
    <xf numFmtId="0" fontId="45" fillId="0" borderId="0" xfId="0" applyFont="1" applyFill="1" applyBorder="1" applyAlignment="1" applyProtection="1">
      <alignment vertical="center"/>
      <protection locked="0"/>
    </xf>
    <xf numFmtId="165" fontId="45" fillId="0" borderId="1" xfId="0" applyNumberFormat="1" applyFont="1" applyFill="1" applyBorder="1" applyAlignment="1" applyProtection="1">
      <alignment horizontal="center" vertical="center"/>
      <protection locked="0"/>
    </xf>
    <xf numFmtId="0" fontId="15" fillId="0" borderId="0" xfId="0" applyFont="1" applyFill="1" applyAlignment="1">
      <alignment horizontal="left"/>
    </xf>
    <xf numFmtId="0" fontId="44" fillId="0" borderId="0" xfId="0" applyFont="1" applyFill="1" applyBorder="1" applyAlignment="1">
      <alignment horizontal="left" vertical="center"/>
    </xf>
    <xf numFmtId="0" fontId="44" fillId="0" borderId="4" xfId="0" applyFont="1" applyFill="1" applyBorder="1" applyAlignment="1">
      <alignment vertical="center"/>
    </xf>
    <xf numFmtId="0" fontId="72" fillId="0" borderId="0" xfId="0" applyFont="1" applyBorder="1" applyAlignment="1">
      <alignment vertical="center"/>
    </xf>
    <xf numFmtId="0" fontId="73" fillId="0" borderId="0" xfId="0" applyFont="1" applyFill="1" applyBorder="1" applyAlignment="1" applyProtection="1">
      <alignment horizontal="center" vertical="center"/>
    </xf>
    <xf numFmtId="0" fontId="74" fillId="0" borderId="0" xfId="0" applyFont="1" applyFill="1" applyBorder="1" applyAlignment="1">
      <alignment horizontal="left" vertical="center"/>
    </xf>
    <xf numFmtId="0" fontId="75" fillId="0" borderId="0" xfId="0" applyFont="1" applyAlignment="1">
      <alignment horizontal="right"/>
    </xf>
    <xf numFmtId="16" fontId="38" fillId="0" borderId="0" xfId="0" applyNumberFormat="1" applyFont="1" applyAlignment="1">
      <alignment horizontal="center"/>
    </xf>
    <xf numFmtId="16" fontId="38" fillId="0" borderId="0" xfId="0" applyNumberFormat="1" applyFont="1" applyAlignment="1">
      <alignment horizontal="center" wrapText="1"/>
    </xf>
    <xf numFmtId="16" fontId="38" fillId="0" borderId="0" xfId="0" quotePrefix="1" applyNumberFormat="1" applyFont="1" applyAlignment="1">
      <alignment horizontal="center" wrapText="1"/>
    </xf>
    <xf numFmtId="16" fontId="38" fillId="0" borderId="0" xfId="0" quotePrefix="1" applyNumberFormat="1" applyFont="1" applyAlignment="1">
      <alignment horizontal="center"/>
    </xf>
    <xf numFmtId="0" fontId="38" fillId="0" borderId="0" xfId="0" applyFont="1" applyFill="1" applyBorder="1" applyAlignment="1" applyProtection="1">
      <alignment horizontal="center"/>
    </xf>
    <xf numFmtId="0" fontId="38" fillId="0" borderId="0" xfId="0" applyFont="1" applyFill="1" applyBorder="1" applyAlignment="1" applyProtection="1">
      <alignment horizontal="center" wrapText="1"/>
    </xf>
    <xf numFmtId="0" fontId="38" fillId="0" borderId="0" xfId="0" applyFont="1" applyFill="1" applyAlignment="1">
      <alignment horizontal="center"/>
    </xf>
    <xf numFmtId="0" fontId="31" fillId="0" borderId="0" xfId="0" applyFont="1"/>
    <xf numFmtId="0" fontId="76" fillId="0" borderId="0" xfId="0" applyFont="1" applyAlignment="1">
      <alignment horizontal="right"/>
    </xf>
    <xf numFmtId="0" fontId="35" fillId="0" borderId="0" xfId="0" applyFont="1" applyFill="1" applyBorder="1" applyAlignment="1" applyProtection="1">
      <alignment horizontal="center" vertical="center"/>
    </xf>
    <xf numFmtId="0" fontId="38" fillId="0" borderId="0" xfId="0" applyFont="1" applyBorder="1" applyAlignment="1">
      <alignment horizontal="center" vertical="center"/>
    </xf>
    <xf numFmtId="0" fontId="41" fillId="0" borderId="0" xfId="0" applyFont="1" applyFill="1" applyBorder="1" applyAlignment="1">
      <alignment horizontal="left" vertical="center"/>
    </xf>
    <xf numFmtId="0" fontId="38" fillId="0" borderId="0" xfId="0" applyFont="1" applyBorder="1" applyAlignment="1">
      <alignment horizontal="left" vertical="center"/>
    </xf>
    <xf numFmtId="0" fontId="77" fillId="0" borderId="0" xfId="0" applyFont="1" applyFill="1" applyAlignment="1">
      <alignment horizontal="right"/>
    </xf>
    <xf numFmtId="0" fontId="38" fillId="0" borderId="0" xfId="0" applyFont="1" applyFill="1" applyAlignment="1">
      <alignment horizontal="right"/>
    </xf>
    <xf numFmtId="0" fontId="38" fillId="0" borderId="0" xfId="0" applyFont="1" applyFill="1" applyBorder="1" applyAlignment="1">
      <alignment horizontal="right"/>
    </xf>
    <xf numFmtId="0" fontId="36" fillId="0" borderId="0" xfId="0" applyFont="1" applyFill="1" applyAlignment="1">
      <alignment horizontal="right" wrapText="1"/>
    </xf>
    <xf numFmtId="0" fontId="35" fillId="0" borderId="0" xfId="0" applyFont="1" applyFill="1" applyBorder="1"/>
    <xf numFmtId="0" fontId="38" fillId="0" borderId="0" xfId="0" applyFont="1" applyFill="1" applyBorder="1" applyAlignment="1">
      <alignment horizontal="center" vertical="center"/>
    </xf>
    <xf numFmtId="0" fontId="38" fillId="0" borderId="0" xfId="0" applyFont="1" applyFill="1" applyBorder="1" applyAlignment="1">
      <alignment horizontal="left" vertical="center"/>
    </xf>
    <xf numFmtId="0" fontId="36" fillId="0" borderId="0" xfId="0" applyFont="1" applyFill="1" applyAlignment="1">
      <alignment horizontal="center" wrapText="1"/>
    </xf>
    <xf numFmtId="0" fontId="38" fillId="0" borderId="0" xfId="0" applyFont="1" applyBorder="1" applyAlignment="1">
      <alignment vertical="center"/>
    </xf>
    <xf numFmtId="0" fontId="36" fillId="0" borderId="0" xfId="0" applyFont="1" applyFill="1" applyBorder="1" applyAlignment="1">
      <alignment horizontal="center" wrapText="1"/>
    </xf>
    <xf numFmtId="0" fontId="38" fillId="0" borderId="0" xfId="0" applyFont="1" applyFill="1"/>
    <xf numFmtId="0" fontId="38" fillId="0" borderId="0" xfId="0" applyFont="1" applyFill="1" applyBorder="1"/>
    <xf numFmtId="0" fontId="38" fillId="0" borderId="0" xfId="0" applyFont="1" applyFill="1" applyBorder="1" applyAlignment="1">
      <alignment vertical="center" wrapText="1"/>
    </xf>
    <xf numFmtId="0" fontId="39" fillId="0" borderId="0" xfId="0" applyFont="1" applyFill="1" applyBorder="1" applyAlignment="1" applyProtection="1">
      <protection locked="0"/>
    </xf>
    <xf numFmtId="0" fontId="39" fillId="0" borderId="1" xfId="0" applyFont="1" applyFill="1" applyBorder="1" applyAlignment="1" applyProtection="1">
      <protection locked="0"/>
    </xf>
    <xf numFmtId="15" fontId="38" fillId="0" borderId="0" xfId="0" applyNumberFormat="1" applyFont="1" applyFill="1" applyAlignment="1" applyProtection="1">
      <alignment horizontal="center"/>
      <protection locked="0"/>
    </xf>
    <xf numFmtId="1" fontId="38" fillId="0" borderId="0" xfId="0" applyNumberFormat="1" applyFont="1" applyFill="1" applyAlignment="1" applyProtection="1">
      <alignment horizontal="center"/>
      <protection locked="0"/>
    </xf>
    <xf numFmtId="0" fontId="2" fillId="0" borderId="0" xfId="0" applyFont="1" applyBorder="1" applyAlignment="1">
      <alignment vertical="center"/>
    </xf>
    <xf numFmtId="0" fontId="2" fillId="0" borderId="0" xfId="0" applyFont="1" applyAlignment="1">
      <alignment vertical="center"/>
    </xf>
    <xf numFmtId="0" fontId="47" fillId="0" borderId="0" xfId="0" applyFont="1" applyFill="1" applyBorder="1" applyAlignment="1" applyProtection="1">
      <alignment horizontal="center" vertical="center"/>
    </xf>
    <xf numFmtId="0" fontId="68" fillId="0" borderId="0" xfId="0" applyFont="1" applyFill="1" applyAlignment="1">
      <alignment horizontal="center"/>
    </xf>
    <xf numFmtId="0" fontId="9" fillId="0" borderId="7" xfId="0" applyFont="1" applyFill="1" applyBorder="1" applyAlignment="1" applyProtection="1">
      <alignment horizontal="center"/>
      <protection locked="0"/>
    </xf>
    <xf numFmtId="0" fontId="9" fillId="0" borderId="0" xfId="0" applyFont="1" applyFill="1" applyAlignment="1">
      <alignment horizontal="center"/>
    </xf>
    <xf numFmtId="0" fontId="68" fillId="0" borderId="0" xfId="0" applyFont="1" applyFill="1" applyAlignment="1">
      <alignment horizontal="center" vertical="center"/>
    </xf>
    <xf numFmtId="15" fontId="9" fillId="0" borderId="0"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protection locked="0"/>
    </xf>
    <xf numFmtId="15" fontId="81" fillId="0" borderId="1" xfId="0" applyNumberFormat="1" applyFont="1" applyFill="1" applyBorder="1" applyAlignment="1" applyProtection="1">
      <alignment horizontal="left"/>
      <protection locked="0"/>
    </xf>
    <xf numFmtId="0" fontId="81" fillId="0" borderId="1" xfId="0" applyFont="1" applyFill="1" applyBorder="1" applyAlignment="1" applyProtection="1">
      <alignment horizontal="left"/>
      <protection locked="0"/>
    </xf>
    <xf numFmtId="44" fontId="45" fillId="0" borderId="1" xfId="6" applyFont="1" applyFill="1" applyBorder="1" applyAlignment="1" applyProtection="1">
      <protection locked="0"/>
    </xf>
    <xf numFmtId="44" fontId="45" fillId="0" borderId="1" xfId="0" applyNumberFormat="1" applyFont="1" applyFill="1" applyBorder="1" applyAlignment="1" applyProtection="1">
      <protection locked="0"/>
    </xf>
    <xf numFmtId="44" fontId="31" fillId="0" borderId="1" xfId="0" applyNumberFormat="1" applyFont="1" applyFill="1" applyBorder="1" applyAlignment="1" applyProtection="1">
      <protection locked="0"/>
    </xf>
    <xf numFmtId="0" fontId="45" fillId="0" borderId="1" xfId="0" applyFont="1" applyFill="1" applyBorder="1" applyAlignment="1" applyProtection="1">
      <alignment horizontal="center" wrapText="1"/>
      <protection locked="0"/>
    </xf>
    <xf numFmtId="0" fontId="49" fillId="0" borderId="1" xfId="0" applyFont="1" applyFill="1" applyBorder="1" applyAlignment="1" applyProtection="1">
      <alignment horizontal="center" wrapText="1"/>
      <protection locked="0"/>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wrapText="1"/>
    </xf>
    <xf numFmtId="0" fontId="38" fillId="0" borderId="0" xfId="0" applyFont="1" applyFill="1" applyAlignment="1">
      <alignment horizontal="center" vertical="center" wrapText="1"/>
    </xf>
    <xf numFmtId="16" fontId="38" fillId="0" borderId="0" xfId="0" applyNumberFormat="1" applyFont="1" applyAlignment="1">
      <alignment horizontal="center" vertical="center" wrapText="1"/>
    </xf>
    <xf numFmtId="16" fontId="38" fillId="0" borderId="0" xfId="0" quotePrefix="1" applyNumberFormat="1" applyFont="1" applyAlignment="1">
      <alignment horizontal="center" vertical="center"/>
    </xf>
    <xf numFmtId="0" fontId="43" fillId="0" borderId="0" xfId="0" applyFont="1" applyFill="1" applyAlignment="1">
      <alignment vertical="center"/>
    </xf>
    <xf numFmtId="16" fontId="38" fillId="0" borderId="0" xfId="0" applyNumberFormat="1" applyFont="1" applyFill="1" applyAlignment="1">
      <alignment horizontal="center" vertical="center" wrapText="1"/>
    </xf>
    <xf numFmtId="0" fontId="31" fillId="0" borderId="0" xfId="0" applyFont="1" applyFill="1" applyAlignment="1">
      <alignment horizontal="left"/>
    </xf>
    <xf numFmtId="16" fontId="38" fillId="0" borderId="0" xfId="0" quotePrefix="1" applyNumberFormat="1" applyFont="1" applyFill="1" applyAlignment="1">
      <alignment vertical="center" wrapText="1"/>
    </xf>
    <xf numFmtId="0" fontId="78" fillId="0" borderId="0" xfId="0" applyFont="1" applyFill="1" applyBorder="1" applyAlignment="1" applyProtection="1">
      <alignment horizontal="center" vertical="center"/>
    </xf>
    <xf numFmtId="0" fontId="43" fillId="0" borderId="0" xfId="0" applyFont="1" applyFill="1" applyAlignment="1">
      <alignment horizontal="center"/>
    </xf>
    <xf numFmtId="0" fontId="2" fillId="0" borderId="0" xfId="0" applyFont="1" applyFill="1" applyBorder="1" applyAlignment="1" applyProtection="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37" fillId="0" borderId="0" xfId="0" applyFont="1" applyFill="1" applyAlignment="1">
      <alignment horizontal="left"/>
    </xf>
    <xf numFmtId="0" fontId="40" fillId="0" borderId="0" xfId="0" applyFont="1" applyFill="1"/>
    <xf numFmtId="0" fontId="40" fillId="0" borderId="0" xfId="0" applyFont="1" applyFill="1" applyAlignment="1">
      <alignment horizontal="center"/>
    </xf>
    <xf numFmtId="0" fontId="40" fillId="0" borderId="0" xfId="0" applyNumberFormat="1" applyFont="1" applyFill="1" applyAlignment="1">
      <alignment horizontal="center"/>
    </xf>
    <xf numFmtId="1" fontId="69" fillId="2" borderId="0" xfId="0" applyNumberFormat="1" applyFont="1" applyFill="1" applyBorder="1" applyAlignment="1" applyProtection="1">
      <alignment horizontal="center" vertical="center"/>
    </xf>
    <xf numFmtId="1" fontId="72" fillId="2" borderId="0" xfId="0" applyNumberFormat="1" applyFont="1" applyFill="1" applyBorder="1" applyAlignment="1">
      <alignment horizontal="center" vertical="center"/>
    </xf>
    <xf numFmtId="0" fontId="72" fillId="2" borderId="0" xfId="0" applyFont="1" applyFill="1" applyBorder="1" applyAlignment="1">
      <alignment horizontal="center" vertical="center"/>
    </xf>
    <xf numFmtId="0" fontId="71" fillId="0" borderId="0" xfId="0" applyFont="1" applyFill="1" applyBorder="1" applyAlignment="1">
      <alignment horizontal="center"/>
    </xf>
    <xf numFmtId="0" fontId="71" fillId="0" borderId="0" xfId="0" applyFont="1" applyFill="1" applyBorder="1" applyAlignment="1">
      <alignment vertical="center"/>
    </xf>
    <xf numFmtId="0" fontId="79" fillId="0" borderId="0" xfId="0" applyFont="1" applyFill="1" applyAlignment="1">
      <alignment horizontal="center"/>
    </xf>
    <xf numFmtId="0" fontId="2" fillId="0" borderId="0" xfId="0" applyFont="1" applyBorder="1" applyAlignment="1" applyProtection="1">
      <alignment horizontal="center" vertical="center"/>
      <protection locked="0"/>
    </xf>
    <xf numFmtId="0" fontId="82" fillId="0" borderId="0" xfId="0" applyFont="1" applyFill="1" applyBorder="1" applyAlignment="1">
      <alignment horizontal="center" vertical="center"/>
    </xf>
    <xf numFmtId="1" fontId="69" fillId="2" borderId="0" xfId="0" applyNumberFormat="1" applyFont="1" applyFill="1" applyBorder="1" applyAlignment="1" applyProtection="1">
      <alignment horizontal="center" vertical="center"/>
      <protection locked="0"/>
    </xf>
    <xf numFmtId="15" fontId="69" fillId="2" borderId="0" xfId="0" applyNumberFormat="1" applyFont="1" applyFill="1" applyBorder="1" applyAlignment="1">
      <alignment horizontal="center"/>
    </xf>
    <xf numFmtId="16" fontId="36" fillId="0" borderId="0" xfId="0" applyNumberFormat="1" applyFont="1" applyFill="1" applyAlignment="1">
      <alignment horizontal="center" vertical="center" wrapText="1"/>
    </xf>
    <xf numFmtId="0" fontId="73" fillId="2" borderId="0" xfId="0" applyFont="1" applyFill="1" applyBorder="1" applyAlignment="1" applyProtection="1">
      <alignment horizontal="center"/>
    </xf>
    <xf numFmtId="0" fontId="84" fillId="2" borderId="0" xfId="0" applyFont="1" applyFill="1" applyAlignment="1">
      <alignment horizontal="center"/>
    </xf>
    <xf numFmtId="0" fontId="85" fillId="0" borderId="0" xfId="0" applyFont="1" applyFill="1" applyAlignment="1">
      <alignment horizontal="center"/>
    </xf>
    <xf numFmtId="0" fontId="85" fillId="0" borderId="0" xfId="0" applyFont="1" applyFill="1" applyAlignment="1">
      <alignment horizontal="right"/>
    </xf>
    <xf numFmtId="0" fontId="2" fillId="0" borderId="0" xfId="0" applyFont="1" applyFill="1" applyAlignment="1">
      <alignment horizontal="center"/>
    </xf>
    <xf numFmtId="44" fontId="2" fillId="0" borderId="7" xfId="0" applyNumberFormat="1" applyFont="1" applyBorder="1" applyAlignment="1" applyProtection="1">
      <alignment horizontal="center" vertical="center"/>
      <protection locked="0"/>
    </xf>
    <xf numFmtId="44" fontId="2" fillId="0" borderId="0" xfId="0" applyNumberFormat="1" applyFont="1" applyBorder="1" applyAlignment="1">
      <alignment vertical="center"/>
    </xf>
    <xf numFmtId="44" fontId="2" fillId="0" borderId="0" xfId="0" applyNumberFormat="1" applyFont="1" applyBorder="1" applyAlignment="1">
      <alignment horizontal="center" vertical="center"/>
    </xf>
    <xf numFmtId="44" fontId="2" fillId="0" borderId="0" xfId="0" applyNumberFormat="1" applyFont="1" applyFill="1" applyBorder="1" applyAlignment="1" applyProtection="1">
      <alignment horizontal="center" vertical="center"/>
    </xf>
    <xf numFmtId="44" fontId="80" fillId="0" borderId="0" xfId="0" applyNumberFormat="1" applyFont="1" applyFill="1" applyBorder="1" applyAlignment="1">
      <alignment horizontal="left" vertical="center"/>
    </xf>
    <xf numFmtId="44" fontId="2" fillId="0" borderId="0" xfId="0" applyNumberFormat="1" applyFont="1" applyFill="1" applyAlignment="1">
      <alignment vertical="center"/>
    </xf>
    <xf numFmtId="0" fontId="72" fillId="2" borderId="0" xfId="0" applyFont="1" applyFill="1" applyAlignment="1">
      <alignment horizontal="center" vertical="center"/>
    </xf>
    <xf numFmtId="0" fontId="41" fillId="0" borderId="0" xfId="0" applyFont="1" applyFill="1"/>
    <xf numFmtId="1" fontId="9" fillId="0" borderId="0" xfId="0" applyNumberFormat="1" applyFont="1" applyFill="1" applyBorder="1" applyAlignment="1" applyProtection="1">
      <alignment horizontal="center" vertical="center"/>
    </xf>
    <xf numFmtId="0" fontId="39" fillId="0" borderId="0" xfId="0" applyFont="1" applyFill="1" applyBorder="1"/>
    <xf numFmtId="1" fontId="9" fillId="0" borderId="0" xfId="0" applyNumberFormat="1" applyFont="1" applyFill="1" applyBorder="1" applyAlignment="1" applyProtection="1">
      <alignment horizontal="center" vertical="center"/>
      <protection locked="0"/>
    </xf>
    <xf numFmtId="165" fontId="68" fillId="0" borderId="0" xfId="0" applyNumberFormat="1" applyFont="1" applyFill="1" applyBorder="1" applyAlignment="1" applyProtection="1">
      <alignment horizontal="center" vertical="center"/>
      <protection locked="0"/>
    </xf>
    <xf numFmtId="0" fontId="38" fillId="0" borderId="0" xfId="0" applyFont="1" applyFill="1" applyAlignment="1">
      <alignment horizontal="center" wrapText="1"/>
    </xf>
    <xf numFmtId="0" fontId="72" fillId="2" borderId="0" xfId="0" applyFont="1" applyFill="1" applyBorder="1" applyAlignment="1" applyProtection="1">
      <alignment horizontal="center" vertical="center"/>
    </xf>
    <xf numFmtId="16" fontId="38" fillId="0" borderId="0" xfId="0" applyNumberFormat="1" applyFont="1" applyFill="1" applyBorder="1" applyAlignment="1">
      <alignment horizontal="center" vertical="center" wrapText="1"/>
    </xf>
    <xf numFmtId="1" fontId="72" fillId="0" borderId="0" xfId="0" applyNumberFormat="1" applyFont="1" applyFill="1" applyBorder="1" applyAlignment="1">
      <alignment horizontal="center" vertical="center"/>
    </xf>
    <xf numFmtId="0" fontId="72" fillId="0" borderId="0" xfId="0" applyFont="1" applyFill="1" applyBorder="1" applyAlignment="1">
      <alignment horizontal="center" vertical="center"/>
    </xf>
    <xf numFmtId="44" fontId="72" fillId="2" borderId="0" xfId="0" applyNumberFormat="1" applyFont="1" applyFill="1" applyBorder="1" applyAlignment="1" applyProtection="1">
      <alignment horizontal="center" vertical="center"/>
    </xf>
    <xf numFmtId="14" fontId="72" fillId="2" borderId="1" xfId="0" applyNumberFormat="1" applyFont="1" applyFill="1" applyBorder="1" applyAlignment="1">
      <alignment horizontal="center"/>
    </xf>
    <xf numFmtId="0" fontId="31" fillId="0" borderId="1" xfId="0" applyFont="1" applyFill="1" applyBorder="1" applyAlignment="1" applyProtection="1">
      <alignment horizontal="center"/>
      <protection locked="0"/>
    </xf>
    <xf numFmtId="0" fontId="38" fillId="0" borderId="2" xfId="0" applyFont="1" applyFill="1" applyBorder="1" applyAlignment="1">
      <alignment horizontal="center"/>
    </xf>
    <xf numFmtId="0" fontId="44" fillId="0" borderId="0" xfId="0" applyFont="1" applyFill="1" applyBorder="1" applyAlignment="1">
      <alignment horizontal="center" vertical="center" wrapText="1"/>
    </xf>
    <xf numFmtId="0" fontId="20" fillId="0" borderId="0" xfId="1" applyFont="1" applyAlignment="1">
      <alignment horizontal="center"/>
    </xf>
    <xf numFmtId="0" fontId="20" fillId="0" borderId="0" xfId="1" applyFont="1" applyAlignment="1">
      <alignment horizontal="left"/>
    </xf>
    <xf numFmtId="0" fontId="30" fillId="0" borderId="0" xfId="0" applyFont="1" applyFill="1" applyBorder="1" applyAlignment="1">
      <alignment horizontal="center"/>
    </xf>
    <xf numFmtId="44" fontId="2" fillId="0" borderId="0" xfId="0" applyNumberFormat="1" applyFont="1" applyFill="1" applyBorder="1" applyAlignment="1">
      <alignment horizontal="center" vertical="center"/>
    </xf>
    <xf numFmtId="165" fontId="9" fillId="0" borderId="0" xfId="0" applyNumberFormat="1" applyFont="1" applyFill="1" applyBorder="1" applyAlignment="1" applyProtection="1">
      <alignment horizontal="center" vertical="center"/>
      <protection locked="0"/>
    </xf>
    <xf numFmtId="1" fontId="69" fillId="0" borderId="0" xfId="0" applyNumberFormat="1" applyFont="1" applyFill="1" applyBorder="1" applyAlignment="1" applyProtection="1">
      <alignment horizontal="center" vertical="center"/>
    </xf>
    <xf numFmtId="0" fontId="31" fillId="0" borderId="1" xfId="0" applyFont="1" applyFill="1" applyBorder="1" applyAlignment="1" applyProtection="1">
      <alignment horizontal="center"/>
      <protection locked="0"/>
    </xf>
    <xf numFmtId="0" fontId="44" fillId="0" borderId="0" xfId="0" applyFont="1" applyFill="1" applyBorder="1" applyAlignment="1">
      <alignment horizontal="center" vertical="center" wrapText="1"/>
    </xf>
    <xf numFmtId="0" fontId="38" fillId="0" borderId="2" xfId="0" applyFont="1" applyFill="1" applyBorder="1" applyAlignment="1">
      <alignment horizontal="center"/>
    </xf>
    <xf numFmtId="0" fontId="45" fillId="0" borderId="1" xfId="0" applyFont="1" applyFill="1" applyBorder="1" applyAlignment="1" applyProtection="1">
      <alignment horizontal="center"/>
      <protection locked="0"/>
    </xf>
    <xf numFmtId="0" fontId="30" fillId="0" borderId="0" xfId="0" applyFont="1" applyFill="1" applyBorder="1" applyAlignment="1">
      <alignment horizontal="center"/>
    </xf>
    <xf numFmtId="15" fontId="2" fillId="0" borderId="0" xfId="0" applyNumberFormat="1" applyFont="1" applyFill="1" applyBorder="1" applyAlignment="1" applyProtection="1">
      <alignment horizontal="center"/>
      <protection locked="0"/>
    </xf>
    <xf numFmtId="0" fontId="43" fillId="0" borderId="0" xfId="0" applyFont="1" applyFill="1" applyBorder="1"/>
    <xf numFmtId="0" fontId="43" fillId="0" borderId="0" xfId="0" applyFont="1" applyFill="1" applyBorder="1" applyAlignment="1">
      <alignment horizontal="right"/>
    </xf>
    <xf numFmtId="1" fontId="2" fillId="0" borderId="0" xfId="0" applyNumberFormat="1" applyFont="1" applyFill="1" applyBorder="1" applyAlignment="1" applyProtection="1">
      <alignment horizontal="center"/>
      <protection locked="0"/>
    </xf>
    <xf numFmtId="170" fontId="72" fillId="2" borderId="0" xfId="0" applyNumberFormat="1" applyFont="1" applyFill="1" applyBorder="1" applyAlignment="1">
      <alignment horizontal="center"/>
    </xf>
    <xf numFmtId="0" fontId="9" fillId="0" borderId="0" xfId="0" applyFont="1" applyFill="1" applyBorder="1" applyAlignment="1">
      <alignment horizontal="center"/>
    </xf>
    <xf numFmtId="0" fontId="31" fillId="0" borderId="0" xfId="0" applyFont="1" applyFill="1" applyBorder="1"/>
    <xf numFmtId="0" fontId="66" fillId="0" borderId="0" xfId="0" applyFont="1" applyFill="1" applyBorder="1" applyAlignment="1">
      <alignment horizontal="right"/>
    </xf>
    <xf numFmtId="0" fontId="41" fillId="0" borderId="0" xfId="0" applyFont="1" applyFill="1" applyBorder="1" applyAlignment="1">
      <alignment horizontal="left"/>
    </xf>
    <xf numFmtId="0" fontId="65" fillId="0" borderId="0" xfId="0" applyFont="1" applyFill="1" applyBorder="1" applyAlignment="1">
      <alignment horizontal="left"/>
    </xf>
    <xf numFmtId="0" fontId="38" fillId="0" borderId="0" xfId="0" applyFont="1" applyFill="1" applyBorder="1" applyAlignment="1">
      <alignment horizontal="center" vertical="center" wrapText="1"/>
    </xf>
    <xf numFmtId="0" fontId="43" fillId="0" borderId="0" xfId="0" applyFont="1" applyFill="1" applyBorder="1" applyAlignment="1">
      <alignment vertical="center"/>
    </xf>
    <xf numFmtId="16" fontId="38" fillId="0" borderId="0" xfId="0" quotePrefix="1" applyNumberFormat="1" applyFont="1" applyFill="1" applyBorder="1" applyAlignment="1">
      <alignment vertical="center" wrapText="1"/>
    </xf>
    <xf numFmtId="0" fontId="31" fillId="0" borderId="0" xfId="0" applyFont="1" applyFill="1" applyBorder="1" applyAlignment="1">
      <alignment horizontal="left"/>
    </xf>
    <xf numFmtId="0" fontId="76" fillId="0" borderId="0" xfId="0" applyFont="1" applyBorder="1" applyAlignment="1">
      <alignment horizontal="right"/>
    </xf>
    <xf numFmtId="0" fontId="37" fillId="0" borderId="0" xfId="0" applyFont="1" applyFill="1" applyBorder="1" applyAlignment="1">
      <alignment horizontal="left"/>
    </xf>
    <xf numFmtId="0" fontId="77" fillId="0" borderId="0" xfId="0" applyFont="1" applyFill="1" applyBorder="1" applyAlignment="1">
      <alignment horizontal="right"/>
    </xf>
    <xf numFmtId="0" fontId="40" fillId="0" borderId="0" xfId="0" applyFont="1" applyFill="1" applyBorder="1" applyAlignment="1">
      <alignment horizontal="left"/>
    </xf>
    <xf numFmtId="0" fontId="36" fillId="0" borderId="0" xfId="0" applyFont="1" applyFill="1" applyBorder="1" applyAlignment="1">
      <alignment horizontal="right"/>
    </xf>
    <xf numFmtId="0" fontId="15" fillId="0" borderId="0" xfId="0" applyFont="1" applyFill="1" applyBorder="1" applyAlignment="1">
      <alignment horizontal="left"/>
    </xf>
    <xf numFmtId="0" fontId="0" fillId="0" borderId="0" xfId="0" applyFill="1" applyBorder="1"/>
    <xf numFmtId="0" fontId="75" fillId="0" borderId="0" xfId="0" applyFont="1" applyFill="1" applyBorder="1" applyAlignment="1">
      <alignment horizontal="right"/>
    </xf>
    <xf numFmtId="16" fontId="38" fillId="0" borderId="0" xfId="0" quotePrefix="1" applyNumberFormat="1" applyFont="1" applyFill="1" applyBorder="1" applyAlignment="1">
      <alignment horizontal="center" vertical="center"/>
    </xf>
    <xf numFmtId="0" fontId="76" fillId="0" borderId="0" xfId="0" applyFont="1" applyFill="1" applyBorder="1" applyAlignment="1">
      <alignment horizontal="right"/>
    </xf>
    <xf numFmtId="0" fontId="67" fillId="0" borderId="0" xfId="0" applyFont="1" applyFill="1" applyBorder="1" applyAlignment="1">
      <alignment horizontal="right"/>
    </xf>
    <xf numFmtId="0" fontId="72" fillId="0" borderId="0" xfId="0" applyFont="1" applyFill="1" applyBorder="1" applyAlignment="1" applyProtection="1">
      <alignment horizontal="center" vertical="center"/>
    </xf>
    <xf numFmtId="0" fontId="59" fillId="0" borderId="0" xfId="0" applyFont="1" applyFill="1" applyBorder="1" applyAlignment="1">
      <alignment horizontal="right"/>
    </xf>
    <xf numFmtId="0" fontId="56" fillId="0" borderId="0" xfId="0" applyFont="1" applyFill="1" applyBorder="1" applyAlignment="1">
      <alignment horizontal="center" vertical="center"/>
    </xf>
    <xf numFmtId="0" fontId="58" fillId="0" borderId="0" xfId="0" applyFont="1" applyFill="1" applyBorder="1" applyAlignment="1">
      <alignment vertical="center"/>
    </xf>
    <xf numFmtId="170" fontId="72" fillId="0" borderId="0" xfId="0" applyNumberFormat="1" applyFont="1" applyFill="1" applyBorder="1" applyAlignment="1">
      <alignment horizontal="center"/>
    </xf>
    <xf numFmtId="0" fontId="75" fillId="0" borderId="2" xfId="0" applyFont="1" applyBorder="1" applyAlignment="1">
      <alignment horizontal="left"/>
    </xf>
    <xf numFmtId="0" fontId="2" fillId="0" borderId="1" xfId="0" applyFont="1" applyBorder="1" applyAlignment="1" applyProtection="1">
      <alignment horizontal="center" vertical="center"/>
      <protection locked="0"/>
    </xf>
    <xf numFmtId="0" fontId="87" fillId="0" borderId="0" xfId="0" applyFont="1"/>
    <xf numFmtId="0" fontId="0" fillId="0" borderId="0" xfId="0" applyFill="1" applyBorder="1" applyAlignment="1">
      <alignment horizontal="center"/>
    </xf>
    <xf numFmtId="0" fontId="31" fillId="0" borderId="0" xfId="0" applyFont="1" applyAlignment="1">
      <alignment horizontal="center"/>
    </xf>
    <xf numFmtId="0" fontId="31" fillId="0" borderId="0" xfId="0" applyFont="1" applyAlignment="1">
      <alignment horizontal="center" wrapText="1"/>
    </xf>
    <xf numFmtId="0" fontId="0" fillId="0" borderId="0" xfId="0" applyAlignment="1">
      <alignment horizontal="left" vertical="top" wrapText="1"/>
    </xf>
    <xf numFmtId="0" fontId="1" fillId="0" borderId="0" xfId="0" applyFont="1" applyAlignment="1">
      <alignment horizontal="left" vertical="top" wrapText="1"/>
    </xf>
    <xf numFmtId="0" fontId="88" fillId="0" borderId="0" xfId="0" applyFont="1" applyAlignment="1"/>
    <xf numFmtId="1" fontId="0" fillId="0" borderId="0" xfId="0" applyNumberFormat="1" applyAlignment="1">
      <alignment horizontal="center"/>
    </xf>
    <xf numFmtId="0" fontId="1" fillId="0" borderId="0" xfId="0" applyFont="1" applyAlignment="1">
      <alignment horizontal="center" wrapText="1"/>
    </xf>
    <xf numFmtId="0" fontId="72" fillId="0" borderId="0" xfId="0" applyFont="1" applyAlignment="1">
      <alignment horizontal="center" vertical="center"/>
    </xf>
    <xf numFmtId="0" fontId="72" fillId="0" borderId="0" xfId="0" applyFont="1" applyBorder="1" applyAlignment="1">
      <alignment horizontal="center" vertical="center"/>
    </xf>
    <xf numFmtId="171" fontId="72" fillId="2" borderId="0" xfId="0" applyNumberFormat="1" applyFont="1" applyFill="1" applyBorder="1" applyAlignment="1" applyProtection="1">
      <alignment horizontal="center" vertical="center"/>
    </xf>
    <xf numFmtId="171" fontId="72" fillId="2" borderId="0" xfId="0" applyNumberFormat="1" applyFont="1" applyFill="1" applyBorder="1" applyAlignment="1">
      <alignment horizontal="center" vertical="center"/>
    </xf>
    <xf numFmtId="0" fontId="89" fillId="0" borderId="0" xfId="0" applyFont="1" applyBorder="1" applyAlignment="1">
      <alignment horizontal="left"/>
    </xf>
    <xf numFmtId="0" fontId="38" fillId="0" borderId="0" xfId="0" applyFont="1" applyFill="1" applyBorder="1" applyAlignment="1" applyProtection="1">
      <alignment horizontal="center"/>
    </xf>
    <xf numFmtId="0" fontId="1" fillId="0" borderId="0" xfId="0" applyFont="1" applyAlignment="1">
      <alignment horizontal="center"/>
    </xf>
    <xf numFmtId="0" fontId="31" fillId="0" borderId="1" xfId="0" applyFont="1" applyFill="1" applyBorder="1"/>
    <xf numFmtId="16" fontId="38" fillId="0" borderId="0" xfId="0" applyNumberFormat="1" applyFont="1" applyFill="1" applyAlignment="1">
      <alignment horizontal="center" wrapText="1"/>
    </xf>
    <xf numFmtId="0" fontId="5" fillId="0" borderId="0" xfId="0" applyFont="1" applyFill="1" applyBorder="1" applyAlignment="1">
      <alignment vertical="center"/>
    </xf>
    <xf numFmtId="16" fontId="77" fillId="0" borderId="0" xfId="0" applyNumberFormat="1" applyFont="1" applyAlignment="1">
      <alignment horizontal="center" wrapText="1"/>
    </xf>
    <xf numFmtId="167" fontId="72" fillId="2" borderId="0" xfId="6" applyNumberFormat="1" applyFont="1" applyFill="1" applyBorder="1" applyAlignment="1">
      <alignment horizontal="center" vertical="center"/>
    </xf>
    <xf numFmtId="167" fontId="72" fillId="2" borderId="0" xfId="6" applyNumberFormat="1" applyFont="1" applyFill="1" applyBorder="1" applyAlignment="1">
      <alignment horizontal="center" vertical="center" shrinkToFit="1"/>
    </xf>
    <xf numFmtId="44" fontId="80" fillId="0" borderId="0" xfId="6" applyFont="1" applyFill="1" applyBorder="1" applyAlignment="1">
      <alignment horizontal="center" vertical="center"/>
    </xf>
    <xf numFmtId="171" fontId="2" fillId="0" borderId="0" xfId="0" applyNumberFormat="1" applyFont="1" applyFill="1" applyBorder="1" applyAlignment="1">
      <alignment horizontal="center" vertical="center"/>
    </xf>
    <xf numFmtId="44" fontId="2" fillId="0" borderId="0" xfId="6" applyFont="1" applyFill="1" applyBorder="1" applyAlignment="1">
      <alignment horizontal="center" vertical="center"/>
    </xf>
    <xf numFmtId="0" fontId="11" fillId="0" borderId="0" xfId="1" applyFont="1" applyFill="1" applyBorder="1"/>
    <xf numFmtId="167" fontId="72" fillId="0" borderId="0" xfId="6" applyNumberFormat="1" applyFont="1" applyFill="1" applyBorder="1" applyAlignment="1">
      <alignment horizontal="center" vertical="center"/>
    </xf>
    <xf numFmtId="0" fontId="11" fillId="0" borderId="0" xfId="1" applyFont="1" applyFill="1" applyBorder="1" applyAlignment="1">
      <alignment horizontal="center"/>
    </xf>
    <xf numFmtId="169" fontId="3" fillId="0" borderId="0" xfId="7" applyNumberFormat="1" applyFont="1" applyFill="1" applyBorder="1" applyAlignment="1">
      <alignment horizontal="center"/>
    </xf>
    <xf numFmtId="0" fontId="3" fillId="0" borderId="0" xfId="1" applyFont="1" applyFill="1" applyBorder="1"/>
    <xf numFmtId="0" fontId="3" fillId="0" borderId="0" xfId="1" applyFont="1" applyFill="1" applyBorder="1" applyAlignment="1">
      <alignment horizontal="center" wrapText="1"/>
    </xf>
    <xf numFmtId="0" fontId="11" fillId="0" borderId="0" xfId="1" applyFont="1" applyFill="1" applyBorder="1" applyAlignment="1">
      <alignment horizontal="right"/>
    </xf>
    <xf numFmtId="0" fontId="11" fillId="0" borderId="0" xfId="1" applyFont="1" applyFill="1" applyBorder="1" applyAlignment="1" applyProtection="1">
      <alignment horizontal="center"/>
      <protection locked="0"/>
    </xf>
    <xf numFmtId="0" fontId="3" fillId="0" borderId="0" xfId="1" applyFont="1" applyFill="1" applyBorder="1" applyAlignment="1">
      <alignment horizontal="right"/>
    </xf>
    <xf numFmtId="2" fontId="3" fillId="0" borderId="0" xfId="1" applyNumberFormat="1" applyFont="1" applyFill="1" applyBorder="1" applyAlignment="1">
      <alignment horizontal="center"/>
    </xf>
    <xf numFmtId="165" fontId="11" fillId="0" borderId="0" xfId="1" applyNumberFormat="1" applyFont="1" applyFill="1" applyBorder="1" applyAlignment="1">
      <alignment horizontal="center"/>
    </xf>
    <xf numFmtId="164" fontId="11" fillId="0" borderId="0" xfId="1" applyNumberFormat="1" applyFont="1" applyFill="1" applyBorder="1" applyAlignment="1">
      <alignment horizontal="center"/>
    </xf>
    <xf numFmtId="0" fontId="25" fillId="0" borderId="0" xfId="1" applyFont="1" applyFill="1" applyBorder="1"/>
    <xf numFmtId="0" fontId="3" fillId="0" borderId="0" xfId="1" applyFont="1" applyFill="1" applyBorder="1" applyAlignment="1">
      <alignment horizontal="center"/>
    </xf>
    <xf numFmtId="165" fontId="3" fillId="0" borderId="0" xfId="1" applyNumberFormat="1" applyFont="1" applyFill="1" applyBorder="1" applyAlignment="1">
      <alignment horizontal="center"/>
    </xf>
    <xf numFmtId="164" fontId="3" fillId="0" borderId="0" xfId="1" applyNumberFormat="1" applyFont="1" applyFill="1" applyBorder="1" applyAlignment="1">
      <alignment horizontal="center"/>
    </xf>
    <xf numFmtId="1" fontId="80" fillId="0" borderId="0" xfId="6" applyNumberFormat="1" applyFont="1" applyFill="1" applyBorder="1" applyAlignment="1">
      <alignment horizontal="center" vertical="center"/>
    </xf>
    <xf numFmtId="1" fontId="72" fillId="2" borderId="0" xfId="6" applyNumberFormat="1" applyFont="1" applyFill="1" applyBorder="1" applyAlignment="1">
      <alignment horizontal="center" vertical="center"/>
    </xf>
    <xf numFmtId="0" fontId="90" fillId="0" borderId="0" xfId="1" applyFont="1" applyFill="1" applyBorder="1" applyAlignment="1" applyProtection="1">
      <alignment horizontal="left"/>
    </xf>
    <xf numFmtId="171" fontId="72" fillId="0" borderId="0" xfId="0" applyNumberFormat="1" applyFont="1" applyFill="1" applyBorder="1" applyAlignment="1" applyProtection="1">
      <alignment horizontal="center" vertical="center"/>
    </xf>
    <xf numFmtId="0" fontId="72" fillId="0" borderId="0" xfId="0" applyFont="1" applyFill="1" applyAlignment="1">
      <alignment horizontal="center" vertical="center"/>
    </xf>
    <xf numFmtId="0" fontId="72" fillId="0" borderId="0" xfId="0" applyFont="1" applyFill="1" applyBorder="1" applyAlignment="1">
      <alignment vertical="center"/>
    </xf>
    <xf numFmtId="171" fontId="72" fillId="0" borderId="0" xfId="0" applyNumberFormat="1" applyFont="1" applyFill="1" applyBorder="1" applyAlignment="1">
      <alignment horizontal="center" vertical="center"/>
    </xf>
    <xf numFmtId="0" fontId="0" fillId="0" borderId="0" xfId="0" applyAlignment="1">
      <alignment horizontal="right"/>
    </xf>
    <xf numFmtId="0" fontId="0" fillId="4" borderId="0" xfId="0" applyFill="1"/>
    <xf numFmtId="0" fontId="1" fillId="4" borderId="0" xfId="0" applyFont="1" applyFill="1" applyAlignment="1">
      <alignment wrapText="1"/>
    </xf>
    <xf numFmtId="0" fontId="1" fillId="4" borderId="0" xfId="0" applyFont="1" applyFill="1" applyAlignment="1">
      <alignment horizontal="center" wrapText="1"/>
    </xf>
    <xf numFmtId="0" fontId="1" fillId="4" borderId="0" xfId="0" applyFont="1" applyFill="1" applyAlignment="1">
      <alignment horizontal="center"/>
    </xf>
    <xf numFmtId="0" fontId="1" fillId="4" borderId="0" xfId="0" applyFont="1" applyFill="1"/>
    <xf numFmtId="0" fontId="0" fillId="4" borderId="0" xfId="0" applyFill="1" applyAlignment="1">
      <alignment horizontal="center"/>
    </xf>
    <xf numFmtId="2" fontId="0" fillId="4" borderId="0" xfId="0" applyNumberFormat="1" applyFill="1" applyAlignment="1">
      <alignment horizontal="center"/>
    </xf>
    <xf numFmtId="0" fontId="1" fillId="4" borderId="0" xfId="0" applyFont="1" applyFill="1" applyAlignment="1">
      <alignment horizontal="right"/>
    </xf>
    <xf numFmtId="0" fontId="0" fillId="5" borderId="0" xfId="0" applyFill="1"/>
    <xf numFmtId="0" fontId="1" fillId="5" borderId="0" xfId="0" applyFont="1" applyFill="1"/>
    <xf numFmtId="0" fontId="1" fillId="5" borderId="0" xfId="0" applyFont="1" applyFill="1" applyAlignment="1">
      <alignment horizontal="center" wrapText="1"/>
    </xf>
    <xf numFmtId="0" fontId="0" fillId="5" borderId="0" xfId="0" quotePrefix="1" applyFill="1"/>
    <xf numFmtId="0" fontId="0" fillId="5" borderId="0" xfId="0" applyFill="1" applyAlignment="1">
      <alignment horizontal="center"/>
    </xf>
    <xf numFmtId="167" fontId="0" fillId="5" borderId="0" xfId="6" applyNumberFormat="1" applyFont="1" applyFill="1"/>
    <xf numFmtId="167" fontId="0" fillId="5" borderId="0" xfId="0" applyNumberFormat="1" applyFill="1"/>
    <xf numFmtId="0" fontId="6" fillId="0" borderId="0" xfId="1" applyFill="1" applyBorder="1"/>
    <xf numFmtId="2" fontId="1" fillId="4" borderId="0" xfId="0" applyNumberFormat="1" applyFont="1" applyFill="1" applyAlignment="1">
      <alignment horizontal="center"/>
    </xf>
    <xf numFmtId="0" fontId="8" fillId="0" borderId="0" xfId="1" applyFont="1" applyFill="1" applyBorder="1" applyAlignment="1">
      <alignment horizontal="left"/>
    </xf>
    <xf numFmtId="0" fontId="8" fillId="0" borderId="0" xfId="1" applyFont="1" applyFill="1" applyBorder="1" applyAlignment="1">
      <alignment horizontal="center"/>
    </xf>
    <xf numFmtId="2" fontId="8" fillId="0" borderId="0" xfId="1" applyNumberFormat="1" applyFont="1" applyFill="1" applyBorder="1" applyAlignment="1">
      <alignment horizontal="center"/>
    </xf>
    <xf numFmtId="0" fontId="8" fillId="0" borderId="0" xfId="1" applyFont="1" applyFill="1" applyBorder="1" applyAlignment="1">
      <alignment horizontal="center" wrapText="1"/>
    </xf>
    <xf numFmtId="0" fontId="55" fillId="0" borderId="0" xfId="1" applyFont="1" applyFill="1" applyBorder="1" applyAlignment="1" applyProtection="1">
      <alignment horizontal="left"/>
      <protection locked="0"/>
    </xf>
    <xf numFmtId="165" fontId="6" fillId="0" borderId="0" xfId="1" applyNumberFormat="1" applyFont="1" applyFill="1" applyBorder="1" applyAlignment="1">
      <alignment horizontal="center"/>
    </xf>
    <xf numFmtId="0" fontId="6" fillId="0" borderId="0" xfId="1" applyFont="1" applyFill="1" applyBorder="1" applyAlignment="1">
      <alignment horizontal="center"/>
    </xf>
    <xf numFmtId="1" fontId="6" fillId="0" borderId="0" xfId="1" applyNumberFormat="1" applyFont="1" applyFill="1" applyBorder="1" applyAlignment="1">
      <alignment horizontal="center"/>
    </xf>
    <xf numFmtId="0" fontId="6" fillId="0" borderId="0" xfId="1" applyFont="1" applyFill="1" applyBorder="1" applyAlignment="1" applyProtection="1">
      <alignment horizontal="center"/>
      <protection locked="0"/>
    </xf>
    <xf numFmtId="1" fontId="6" fillId="0" borderId="0" xfId="1" applyNumberFormat="1" applyFont="1" applyFill="1" applyBorder="1" applyAlignment="1" applyProtection="1">
      <alignment horizontal="center"/>
      <protection locked="0"/>
    </xf>
    <xf numFmtId="168" fontId="6" fillId="0" borderId="0" xfId="1" applyNumberFormat="1" applyFill="1" applyBorder="1" applyAlignment="1">
      <alignment horizontal="center"/>
    </xf>
    <xf numFmtId="165" fontId="8" fillId="0" borderId="0" xfId="1" applyNumberFormat="1" applyFont="1" applyFill="1" applyBorder="1" applyAlignment="1">
      <alignment horizontal="center"/>
    </xf>
    <xf numFmtId="164" fontId="8" fillId="0" borderId="0" xfId="1" applyNumberFormat="1" applyFont="1" applyFill="1" applyBorder="1" applyAlignment="1">
      <alignment horizontal="center"/>
    </xf>
    <xf numFmtId="0" fontId="19" fillId="0" borderId="0" xfId="1" applyFont="1" applyFill="1" applyBorder="1"/>
    <xf numFmtId="2" fontId="8" fillId="0" borderId="0" xfId="1" applyNumberFormat="1" applyFont="1" applyFill="1" applyBorder="1"/>
    <xf numFmtId="2" fontId="6" fillId="0" borderId="0" xfId="1" applyNumberFormat="1" applyFont="1" applyFill="1" applyBorder="1"/>
    <xf numFmtId="2" fontId="6" fillId="0" borderId="0" xfId="1" applyNumberFormat="1" applyFont="1" applyFill="1" applyBorder="1" applyAlignment="1">
      <alignment horizontal="center"/>
    </xf>
    <xf numFmtId="164" fontId="6" fillId="0" borderId="0" xfId="1" applyNumberFormat="1" applyFont="1" applyFill="1" applyBorder="1" applyAlignment="1">
      <alignment horizontal="center"/>
    </xf>
    <xf numFmtId="0" fontId="8" fillId="0" borderId="0" xfId="1" applyFont="1" applyFill="1" applyBorder="1"/>
    <xf numFmtId="4" fontId="8" fillId="0" borderId="0" xfId="1" applyNumberFormat="1" applyFont="1" applyFill="1" applyBorder="1" applyAlignment="1">
      <alignment horizontal="center"/>
    </xf>
    <xf numFmtId="0" fontId="6" fillId="0" borderId="0" xfId="1" applyFill="1" applyBorder="1" applyAlignment="1">
      <alignment horizontal="center"/>
    </xf>
    <xf numFmtId="0" fontId="22" fillId="0" borderId="0" xfId="1" applyFont="1" applyFill="1" applyBorder="1"/>
    <xf numFmtId="0" fontId="69" fillId="2" borderId="1" xfId="0" applyFont="1" applyFill="1" applyBorder="1"/>
    <xf numFmtId="167" fontId="86" fillId="2" borderId="1" xfId="6" applyNumberFormat="1" applyFont="1" applyFill="1" applyBorder="1" applyAlignment="1">
      <alignment horizontal="center"/>
    </xf>
    <xf numFmtId="0" fontId="86" fillId="2" borderId="1" xfId="0" applyFont="1" applyFill="1" applyBorder="1" applyAlignment="1">
      <alignment horizontal="center" vertical="center" wrapText="1"/>
    </xf>
    <xf numFmtId="0" fontId="86" fillId="2" borderId="1" xfId="0" applyFont="1" applyFill="1" applyBorder="1" applyAlignment="1">
      <alignment horizontal="center" vertical="center"/>
    </xf>
    <xf numFmtId="167" fontId="71" fillId="2" borderId="1" xfId="6" applyNumberFormat="1" applyFont="1" applyFill="1" applyBorder="1" applyAlignment="1">
      <alignment horizontal="center"/>
    </xf>
    <xf numFmtId="0" fontId="71" fillId="2" borderId="1" xfId="0" applyFont="1" applyFill="1" applyBorder="1" applyAlignment="1">
      <alignment horizontal="center"/>
    </xf>
    <xf numFmtId="0" fontId="86" fillId="2" borderId="1" xfId="0" applyFont="1" applyFill="1" applyBorder="1"/>
    <xf numFmtId="0" fontId="72" fillId="2" borderId="1" xfId="0" applyFont="1" applyFill="1" applyBorder="1" applyAlignment="1">
      <alignment vertical="center"/>
    </xf>
    <xf numFmtId="0" fontId="69" fillId="2" borderId="1" xfId="0" applyFont="1" applyFill="1" applyBorder="1" applyAlignment="1">
      <alignment horizontal="center" vertical="center"/>
    </xf>
    <xf numFmtId="0" fontId="72" fillId="2" borderId="1" xfId="0" applyFont="1" applyFill="1" applyBorder="1" applyAlignment="1">
      <alignment horizontal="left" vertical="center"/>
    </xf>
    <xf numFmtId="0" fontId="69" fillId="2" borderId="1" xfId="0" applyFont="1" applyFill="1" applyBorder="1" applyAlignment="1">
      <alignment wrapText="1"/>
    </xf>
    <xf numFmtId="0" fontId="69" fillId="2" borderId="1" xfId="0" applyFont="1" applyFill="1" applyBorder="1" applyAlignment="1">
      <alignment horizontal="center" vertical="center" wrapText="1"/>
    </xf>
    <xf numFmtId="165" fontId="71" fillId="2" borderId="1" xfId="0" applyNumberFormat="1" applyFont="1" applyFill="1" applyBorder="1" applyAlignment="1">
      <alignment horizontal="center"/>
    </xf>
    <xf numFmtId="0" fontId="92" fillId="0" borderId="0" xfId="0" applyFont="1" applyFill="1"/>
    <xf numFmtId="0" fontId="29" fillId="0" borderId="6" xfId="0" applyFont="1" applyFill="1" applyBorder="1" applyAlignment="1">
      <alignment horizontal="center"/>
    </xf>
    <xf numFmtId="165" fontId="29" fillId="0" borderId="6" xfId="0" applyNumberFormat="1" applyFont="1" applyFill="1" applyBorder="1" applyAlignment="1">
      <alignment horizontal="center"/>
    </xf>
    <xf numFmtId="165" fontId="29" fillId="0" borderId="0" xfId="0" applyNumberFormat="1" applyFont="1" applyFill="1"/>
    <xf numFmtId="0" fontId="30" fillId="0" borderId="1" xfId="0" applyFont="1" applyFill="1" applyBorder="1" applyAlignment="1">
      <alignment horizontal="center" wrapText="1"/>
    </xf>
    <xf numFmtId="0" fontId="30" fillId="0" borderId="0" xfId="0" applyFont="1" applyFill="1" applyAlignment="1">
      <alignment horizontal="center"/>
    </xf>
    <xf numFmtId="0" fontId="86" fillId="2" borderId="1" xfId="0" applyFont="1" applyFill="1" applyBorder="1" applyAlignment="1">
      <alignment horizontal="center"/>
    </xf>
    <xf numFmtId="0" fontId="86" fillId="2" borderId="1" xfId="0" applyFont="1" applyFill="1" applyBorder="1" applyAlignment="1">
      <alignment horizontal="center" wrapText="1"/>
    </xf>
    <xf numFmtId="0" fontId="30" fillId="0" borderId="0" xfId="0" applyNumberFormat="1" applyFont="1" applyFill="1" applyAlignment="1">
      <alignment horizontal="center"/>
    </xf>
    <xf numFmtId="165" fontId="29" fillId="0" borderId="0" xfId="0" applyNumberFormat="1" applyFont="1" applyFill="1" applyAlignment="1">
      <alignment horizontal="center"/>
    </xf>
    <xf numFmtId="165" fontId="29" fillId="0" borderId="0" xfId="0" applyNumberFormat="1" applyFont="1" applyFill="1" applyBorder="1"/>
    <xf numFmtId="0" fontId="86" fillId="2" borderId="3" xfId="0" applyFont="1" applyFill="1" applyBorder="1" applyAlignment="1">
      <alignment horizontal="center" vertical="center"/>
    </xf>
    <xf numFmtId="0" fontId="29" fillId="0" borderId="3" xfId="0" applyFont="1" applyFill="1" applyBorder="1" applyAlignment="1" applyProtection="1">
      <alignment horizontal="center"/>
      <protection locked="0"/>
    </xf>
    <xf numFmtId="0" fontId="86" fillId="0" borderId="0" xfId="0" applyFont="1" applyFill="1" applyBorder="1" applyAlignment="1">
      <alignment horizontal="center" vertical="center"/>
    </xf>
    <xf numFmtId="0" fontId="69" fillId="0" borderId="0" xfId="0" applyFont="1" applyFill="1" applyBorder="1" applyAlignment="1">
      <alignment vertical="center"/>
    </xf>
    <xf numFmtId="0" fontId="71" fillId="0" borderId="0" xfId="0" applyFont="1" applyFill="1"/>
    <xf numFmtId="165" fontId="31" fillId="0" borderId="0" xfId="0" applyNumberFormat="1" applyFont="1" applyFill="1" applyAlignment="1">
      <alignment horizontal="center"/>
    </xf>
    <xf numFmtId="0" fontId="69" fillId="2" borderId="1" xfId="0" applyFont="1" applyFill="1" applyBorder="1" applyAlignment="1" applyProtection="1">
      <alignment horizontal="center"/>
    </xf>
    <xf numFmtId="44" fontId="0" fillId="0" borderId="0" xfId="0" applyNumberFormat="1"/>
    <xf numFmtId="0" fontId="93" fillId="0" borderId="0" xfId="0" applyFont="1"/>
    <xf numFmtId="1" fontId="11" fillId="0" borderId="0" xfId="7" applyNumberFormat="1" applyFont="1" applyAlignment="1">
      <alignment horizontal="center"/>
    </xf>
    <xf numFmtId="1" fontId="11" fillId="0" borderId="0" xfId="1" applyNumberFormat="1" applyFont="1"/>
    <xf numFmtId="44" fontId="9" fillId="0" borderId="1" xfId="0" applyNumberFormat="1" applyFont="1" applyFill="1" applyBorder="1" applyAlignment="1" applyProtection="1">
      <alignment horizontal="center" vertical="center"/>
      <protection locked="0"/>
    </xf>
    <xf numFmtId="1" fontId="9" fillId="0" borderId="0" xfId="0" applyNumberFormat="1" applyFont="1" applyFill="1" applyAlignment="1">
      <alignment horizontal="center" vertical="center"/>
    </xf>
    <xf numFmtId="0" fontId="9" fillId="0" borderId="0" xfId="0" applyFont="1" applyFill="1" applyAlignment="1">
      <alignment horizontal="center" vertical="center"/>
    </xf>
    <xf numFmtId="44" fontId="9" fillId="0" borderId="0" xfId="0" applyNumberFormat="1" applyFont="1" applyFill="1" applyAlignment="1">
      <alignment horizontal="center" vertical="center"/>
    </xf>
    <xf numFmtId="1" fontId="9" fillId="0" borderId="0" xfId="0" applyNumberFormat="1" applyFont="1" applyFill="1" applyAlignment="1">
      <alignment vertical="center"/>
    </xf>
    <xf numFmtId="0" fontId="9" fillId="0" borderId="0" xfId="0" applyFont="1" applyFill="1" applyAlignment="1">
      <alignment vertical="center"/>
    </xf>
    <xf numFmtId="44" fontId="9" fillId="0" borderId="0" xfId="0" applyNumberFormat="1" applyFont="1" applyFill="1" applyAlignment="1">
      <alignment vertical="center"/>
    </xf>
    <xf numFmtId="0" fontId="9" fillId="0" borderId="0" xfId="0" applyFont="1" applyFill="1" applyBorder="1" applyAlignment="1">
      <alignment horizontal="center" vertical="center"/>
    </xf>
    <xf numFmtId="44" fontId="9" fillId="0" borderId="0" xfId="0" applyNumberFormat="1" applyFont="1" applyFill="1" applyBorder="1" applyAlignment="1" applyProtection="1">
      <alignment horizontal="center" vertical="center"/>
      <protection locked="0"/>
    </xf>
    <xf numFmtId="0" fontId="8" fillId="0" borderId="0" xfId="0" applyFont="1"/>
    <xf numFmtId="0" fontId="0" fillId="6" borderId="0" xfId="0" applyFill="1"/>
    <xf numFmtId="1" fontId="0" fillId="0" borderId="0" xfId="0" applyNumberFormat="1"/>
    <xf numFmtId="0" fontId="0" fillId="0" borderId="1" xfId="0" applyBorder="1"/>
    <xf numFmtId="0" fontId="0" fillId="0" borderId="1" xfId="0" applyBorder="1" applyAlignment="1">
      <alignment horizontal="center"/>
    </xf>
    <xf numFmtId="1" fontId="0" fillId="0" borderId="1" xfId="0" applyNumberFormat="1" applyBorder="1" applyAlignment="1">
      <alignment horizontal="center"/>
    </xf>
    <xf numFmtId="14" fontId="0" fillId="0" borderId="0" xfId="0" applyNumberFormat="1" applyAlignment="1">
      <alignment horizontal="center"/>
    </xf>
    <xf numFmtId="170" fontId="0" fillId="0" borderId="0" xfId="0" applyNumberFormat="1" applyAlignment="1">
      <alignment horizontal="center"/>
    </xf>
    <xf numFmtId="14" fontId="0" fillId="0" borderId="1" xfId="0" applyNumberFormat="1" applyBorder="1" applyAlignment="1">
      <alignment horizontal="center"/>
    </xf>
    <xf numFmtId="1" fontId="1" fillId="0" borderId="0" xfId="0" applyNumberFormat="1" applyFont="1" applyAlignment="1">
      <alignment horizontal="center"/>
    </xf>
    <xf numFmtId="14" fontId="0" fillId="0" borderId="0" xfId="0" applyNumberFormat="1"/>
    <xf numFmtId="0" fontId="0" fillId="6" borderId="0" xfId="0" applyFill="1" applyAlignment="1">
      <alignment horizontal="center"/>
    </xf>
    <xf numFmtId="0" fontId="1" fillId="6" borderId="0" xfId="0" applyFont="1" applyFill="1" applyAlignment="1">
      <alignment horizontal="center"/>
    </xf>
    <xf numFmtId="1" fontId="0" fillId="0" borderId="1" xfId="0" applyNumberFormat="1" applyBorder="1"/>
    <xf numFmtId="14" fontId="0" fillId="0" borderId="1" xfId="0" applyNumberFormat="1" applyBorder="1"/>
    <xf numFmtId="0" fontId="0" fillId="6" borderId="0" xfId="0" applyFill="1" applyBorder="1" applyAlignment="1">
      <alignment horizontal="center"/>
    </xf>
    <xf numFmtId="0" fontId="95" fillId="0" borderId="0" xfId="5" applyFont="1" applyAlignment="1">
      <alignment horizontal="left"/>
    </xf>
    <xf numFmtId="0" fontId="95" fillId="0" borderId="0" xfId="1" applyFont="1"/>
    <xf numFmtId="164" fontId="25" fillId="0" borderId="0" xfId="1" applyNumberFormat="1" applyFont="1" applyAlignment="1">
      <alignment horizontal="center"/>
    </xf>
    <xf numFmtId="0" fontId="95" fillId="0" borderId="0" xfId="5" applyFont="1" applyAlignment="1">
      <alignment horizontal="right"/>
    </xf>
    <xf numFmtId="0" fontId="25" fillId="0" borderId="0" xfId="5" applyFont="1"/>
    <xf numFmtId="165" fontId="25" fillId="0" borderId="0" xfId="5" applyNumberFormat="1" applyFont="1"/>
    <xf numFmtId="0" fontId="75" fillId="0" borderId="0" xfId="0" applyFont="1" applyBorder="1" applyAlignment="1">
      <alignment horizontal="left"/>
    </xf>
    <xf numFmtId="0" fontId="3" fillId="0" borderId="0" xfId="1" applyFont="1" applyAlignment="1">
      <alignment horizontal="left"/>
    </xf>
    <xf numFmtId="0" fontId="3" fillId="0" borderId="0" xfId="1" applyFont="1" applyFill="1" applyBorder="1" applyAlignment="1" applyProtection="1">
      <alignment horizontal="center"/>
      <protection locked="0"/>
    </xf>
    <xf numFmtId="0" fontId="3" fillId="0" borderId="0" xfId="1" applyFont="1" applyFill="1" applyBorder="1" applyAlignment="1" applyProtection="1">
      <alignment horizontal="center"/>
    </xf>
    <xf numFmtId="14" fontId="0" fillId="6" borderId="0" xfId="0" applyNumberFormat="1" applyFill="1" applyAlignment="1">
      <alignment horizontal="center"/>
    </xf>
    <xf numFmtId="0" fontId="11" fillId="0" borderId="0" xfId="5" applyNumberFormat="1" applyFont="1" applyAlignment="1">
      <alignment horizontal="center"/>
    </xf>
    <xf numFmtId="2" fontId="44" fillId="0" borderId="0" xfId="1" applyNumberFormat="1" applyFont="1" applyFill="1" applyBorder="1" applyAlignment="1">
      <alignment horizontal="center" vertical="center"/>
    </xf>
    <xf numFmtId="164" fontId="97" fillId="0" borderId="0" xfId="1" applyNumberFormat="1" applyFont="1" applyFill="1" applyBorder="1" applyAlignment="1">
      <alignment horizontal="left"/>
    </xf>
    <xf numFmtId="0" fontId="3" fillId="0" borderId="0" xfId="1" applyFont="1" applyFill="1" applyBorder="1" applyAlignment="1" applyProtection="1">
      <alignment horizontal="center" wrapText="1"/>
    </xf>
    <xf numFmtId="165" fontId="11" fillId="0" borderId="0" xfId="1" applyNumberFormat="1" applyFont="1" applyFill="1" applyAlignment="1" applyProtection="1">
      <alignment horizontal="center"/>
    </xf>
    <xf numFmtId="0" fontId="20" fillId="0" borderId="0" xfId="1" applyFont="1" applyAlignment="1"/>
    <xf numFmtId="0" fontId="6" fillId="0" borderId="0" xfId="1" applyFont="1" applyAlignment="1">
      <alignment horizontal="left"/>
    </xf>
    <xf numFmtId="165" fontId="8" fillId="0" borderId="0" xfId="1" applyNumberFormat="1" applyFont="1" applyFill="1" applyBorder="1" applyAlignment="1" applyProtection="1">
      <alignment horizontal="center"/>
    </xf>
    <xf numFmtId="0" fontId="98" fillId="0" borderId="0" xfId="1" applyFont="1" applyAlignment="1">
      <alignment horizontal="center"/>
    </xf>
    <xf numFmtId="0" fontId="98" fillId="0" borderId="0" xfId="1" applyFont="1" applyAlignment="1">
      <alignment horizontal="left"/>
    </xf>
    <xf numFmtId="0" fontId="29" fillId="0" borderId="1" xfId="0" applyFont="1" applyFill="1" applyBorder="1" applyProtection="1"/>
    <xf numFmtId="0" fontId="96" fillId="0" borderId="0" xfId="0" applyFont="1"/>
    <xf numFmtId="0" fontId="43" fillId="0" borderId="0" xfId="0" applyFont="1"/>
    <xf numFmtId="0" fontId="43" fillId="0" borderId="0" xfId="0" applyFont="1" applyAlignment="1">
      <alignment horizontal="center"/>
    </xf>
    <xf numFmtId="9" fontId="43" fillId="0" borderId="0" xfId="8" applyFont="1" applyAlignment="1">
      <alignment horizontal="center"/>
    </xf>
    <xf numFmtId="9" fontId="43" fillId="0" borderId="0" xfId="8" applyNumberFormat="1" applyFont="1" applyAlignment="1">
      <alignment horizontal="center"/>
    </xf>
    <xf numFmtId="9" fontId="43" fillId="0" borderId="0" xfId="0" applyNumberFormat="1" applyFont="1" applyAlignment="1">
      <alignment horizontal="center"/>
    </xf>
    <xf numFmtId="0" fontId="38" fillId="0" borderId="0" xfId="0" applyFont="1" applyAlignment="1">
      <alignment horizontal="center" wrapText="1"/>
    </xf>
    <xf numFmtId="0" fontId="38" fillId="0" borderId="0" xfId="0" applyFont="1" applyAlignment="1">
      <alignment horizontal="center" vertical="center"/>
    </xf>
    <xf numFmtId="0" fontId="38" fillId="0" borderId="0" xfId="0" applyFont="1" applyAlignment="1">
      <alignment horizontal="left" vertical="center"/>
    </xf>
    <xf numFmtId="10" fontId="43" fillId="0" borderId="0" xfId="8" applyNumberFormat="1" applyFont="1" applyAlignment="1">
      <alignment horizontal="center"/>
    </xf>
    <xf numFmtId="0" fontId="0" fillId="2" borderId="0" xfId="0" applyFill="1"/>
    <xf numFmtId="46" fontId="43" fillId="0" borderId="0" xfId="0" applyNumberFormat="1" applyFont="1" applyAlignment="1">
      <alignment horizontal="center"/>
    </xf>
    <xf numFmtId="1" fontId="43" fillId="0" borderId="0" xfId="0" applyNumberFormat="1" applyFont="1" applyAlignment="1">
      <alignment horizontal="center"/>
    </xf>
    <xf numFmtId="1" fontId="43" fillId="0" borderId="0" xfId="0" applyNumberFormat="1" applyFont="1" applyAlignment="1">
      <alignment horizontal="center" vertical="center"/>
    </xf>
    <xf numFmtId="0" fontId="99" fillId="0" borderId="0" xfId="0" applyFont="1" applyAlignment="1">
      <alignment horizontal="center"/>
    </xf>
    <xf numFmtId="0" fontId="6" fillId="0" borderId="0" xfId="0" applyFont="1" applyAlignment="1">
      <alignment horizontal="center"/>
    </xf>
    <xf numFmtId="0" fontId="99" fillId="0" borderId="0" xfId="0" quotePrefix="1" applyFont="1" applyBorder="1" applyAlignment="1">
      <alignment horizontal="center"/>
    </xf>
    <xf numFmtId="0" fontId="0" fillId="2" borderId="0" xfId="0" applyFill="1" applyAlignment="1">
      <alignment horizontal="center"/>
    </xf>
    <xf numFmtId="0" fontId="100" fillId="0" borderId="0" xfId="0" applyFont="1"/>
    <xf numFmtId="0" fontId="43" fillId="0" borderId="0" xfId="0" applyFont="1" applyAlignment="1">
      <alignment horizontal="left" indent="1"/>
    </xf>
    <xf numFmtId="0" fontId="102" fillId="0" borderId="0" xfId="0" applyFont="1"/>
    <xf numFmtId="0" fontId="43" fillId="0" borderId="0" xfId="0" applyFont="1" applyAlignment="1">
      <alignment horizontal="right"/>
    </xf>
    <xf numFmtId="0" fontId="85" fillId="0" borderId="0" xfId="0" applyFont="1"/>
    <xf numFmtId="0" fontId="71" fillId="0" borderId="0" xfId="0" applyFont="1"/>
    <xf numFmtId="2" fontId="96" fillId="0" borderId="0" xfId="0" quotePrefix="1" applyNumberFormat="1" applyFont="1" applyAlignment="1">
      <alignment horizontal="right"/>
    </xf>
    <xf numFmtId="9" fontId="96" fillId="0" borderId="0" xfId="8" applyFont="1" applyAlignment="1">
      <alignment horizontal="center"/>
    </xf>
    <xf numFmtId="0" fontId="96" fillId="0" borderId="0" xfId="0" applyFont="1" applyAlignment="1">
      <alignment horizontal="right"/>
    </xf>
    <xf numFmtId="0" fontId="96" fillId="0" borderId="0" xfId="0" quotePrefix="1" applyFont="1" applyAlignment="1">
      <alignment horizontal="right"/>
    </xf>
    <xf numFmtId="0" fontId="103" fillId="0" borderId="0" xfId="0" quotePrefix="1" applyFont="1" applyFill="1" applyBorder="1" applyAlignment="1">
      <alignment horizontal="center"/>
    </xf>
    <xf numFmtId="0" fontId="72" fillId="2" borderId="0" xfId="0" applyFont="1" applyFill="1" applyAlignment="1">
      <alignment horizontal="center"/>
    </xf>
    <xf numFmtId="0" fontId="104" fillId="2" borderId="0" xfId="0" quotePrefix="1" applyFont="1" applyFill="1" applyBorder="1" applyAlignment="1">
      <alignment horizontal="center"/>
    </xf>
    <xf numFmtId="0" fontId="105" fillId="0" borderId="0" xfId="0" applyFont="1" applyBorder="1" applyAlignment="1">
      <alignment horizontal="center"/>
    </xf>
    <xf numFmtId="0" fontId="105" fillId="0" borderId="0" xfId="0" quotePrefix="1" applyFont="1" applyBorder="1" applyAlignment="1">
      <alignment horizontal="center"/>
    </xf>
    <xf numFmtId="0" fontId="0" fillId="0" borderId="1" xfId="0"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0" fillId="0" borderId="7" xfId="0" applyBorder="1" applyProtection="1">
      <protection locked="0"/>
    </xf>
    <xf numFmtId="0" fontId="63" fillId="0" borderId="7" xfId="0" applyFont="1" applyBorder="1" applyAlignment="1" applyProtection="1">
      <alignment horizontal="center"/>
      <protection locked="0"/>
    </xf>
    <xf numFmtId="15" fontId="2" fillId="0" borderId="7" xfId="0" applyNumberFormat="1" applyFont="1" applyBorder="1" applyAlignment="1" applyProtection="1">
      <alignment horizontal="center"/>
      <protection locked="0"/>
    </xf>
    <xf numFmtId="0" fontId="2" fillId="0" borderId="7" xfId="0" applyFont="1" applyFill="1" applyBorder="1" applyAlignment="1" applyProtection="1">
      <alignment horizontal="center" vertical="center"/>
      <protection locked="0"/>
    </xf>
    <xf numFmtId="0" fontId="107" fillId="2" borderId="1" xfId="0" applyFont="1" applyFill="1" applyBorder="1" applyAlignment="1">
      <alignment horizontal="center" vertical="center" wrapText="1"/>
    </xf>
    <xf numFmtId="0" fontId="29" fillId="0" borderId="3" xfId="0" applyFont="1" applyFill="1" applyBorder="1" applyAlignment="1">
      <alignment horizontal="center"/>
    </xf>
    <xf numFmtId="0" fontId="30" fillId="0" borderId="5" xfId="0" applyFont="1" applyFill="1" applyBorder="1"/>
    <xf numFmtId="165" fontId="29" fillId="0" borderId="5" xfId="0" applyNumberFormat="1" applyFont="1" applyFill="1" applyBorder="1" applyAlignment="1">
      <alignment horizontal="center"/>
    </xf>
    <xf numFmtId="0" fontId="71" fillId="0" borderId="0" xfId="0" applyFont="1" applyFill="1" applyBorder="1"/>
    <xf numFmtId="0" fontId="29" fillId="0" borderId="0" xfId="0" applyFont="1" applyFill="1" applyAlignment="1">
      <alignment wrapText="1"/>
    </xf>
    <xf numFmtId="0" fontId="29" fillId="0" borderId="0" xfId="0" applyFont="1" applyFill="1" applyBorder="1" applyAlignment="1">
      <alignment wrapText="1"/>
    </xf>
    <xf numFmtId="0" fontId="30" fillId="0" borderId="3" xfId="0" applyFont="1" applyFill="1" applyBorder="1" applyAlignment="1">
      <alignment wrapText="1"/>
    </xf>
    <xf numFmtId="0" fontId="29" fillId="0" borderId="3" xfId="0" applyFont="1" applyFill="1" applyBorder="1" applyAlignment="1">
      <alignment horizontal="center" wrapText="1"/>
    </xf>
    <xf numFmtId="0" fontId="71" fillId="0" borderId="0" xfId="0" applyFont="1" applyFill="1" applyAlignment="1">
      <alignment wrapText="1"/>
    </xf>
    <xf numFmtId="0" fontId="30" fillId="0" borderId="1" xfId="0" applyFont="1" applyFill="1" applyBorder="1" applyAlignment="1">
      <alignment wrapText="1"/>
    </xf>
    <xf numFmtId="165" fontId="29" fillId="0" borderId="1" xfId="0" applyNumberFormat="1" applyFont="1" applyFill="1" applyBorder="1" applyAlignment="1">
      <alignment horizontal="center" wrapText="1"/>
    </xf>
    <xf numFmtId="165" fontId="29" fillId="0" borderId="0" xfId="0" applyNumberFormat="1" applyFont="1" applyFill="1" applyBorder="1" applyAlignment="1">
      <alignment wrapText="1"/>
    </xf>
    <xf numFmtId="165" fontId="29" fillId="0" borderId="0" xfId="0" applyNumberFormat="1" applyFont="1" applyFill="1" applyBorder="1" applyAlignment="1">
      <alignment horizontal="center" wrapText="1"/>
    </xf>
    <xf numFmtId="165" fontId="29" fillId="0" borderId="0" xfId="0" applyNumberFormat="1" applyFont="1" applyFill="1" applyAlignment="1">
      <alignment horizontal="center" wrapText="1"/>
    </xf>
    <xf numFmtId="165" fontId="29" fillId="0" borderId="0" xfId="0" applyNumberFormat="1" applyFont="1" applyFill="1" applyAlignment="1">
      <alignment wrapText="1"/>
    </xf>
    <xf numFmtId="0" fontId="30" fillId="0" borderId="0" xfId="0" applyNumberFormat="1" applyFont="1" applyFill="1"/>
    <xf numFmtId="0" fontId="106" fillId="2" borderId="1" xfId="0" applyFont="1" applyFill="1" applyBorder="1" applyAlignment="1">
      <alignment horizontal="center" vertical="center" wrapText="1"/>
    </xf>
    <xf numFmtId="0" fontId="30" fillId="0" borderId="3" xfId="0" applyFont="1" applyFill="1" applyBorder="1" applyAlignment="1">
      <alignment horizontal="center" wrapText="1"/>
    </xf>
    <xf numFmtId="0" fontId="30" fillId="0" borderId="5" xfId="0" applyFont="1" applyFill="1" applyBorder="1" applyAlignment="1">
      <alignment horizontal="center"/>
    </xf>
    <xf numFmtId="14" fontId="9" fillId="0" borderId="1" xfId="0" quotePrefix="1" applyNumberFormat="1" applyFont="1" applyBorder="1" applyAlignment="1" applyProtection="1">
      <alignment horizontal="center"/>
      <protection locked="0"/>
    </xf>
    <xf numFmtId="0" fontId="9" fillId="0" borderId="1" xfId="0" quotePrefix="1" applyFont="1" applyBorder="1" applyAlignment="1" applyProtection="1">
      <alignment horizontal="center"/>
      <protection locked="0"/>
    </xf>
    <xf numFmtId="44" fontId="31" fillId="0" borderId="1" xfId="0" applyNumberFormat="1" applyFont="1" applyFill="1" applyBorder="1" applyAlignment="1" applyProtection="1">
      <alignment horizontal="center"/>
      <protection locked="0"/>
    </xf>
    <xf numFmtId="167" fontId="38" fillId="0" borderId="1" xfId="6" applyNumberFormat="1" applyFont="1" applyFill="1" applyBorder="1" applyAlignment="1" applyProtection="1">
      <alignment horizontal="center"/>
      <protection locked="0"/>
    </xf>
    <xf numFmtId="0" fontId="32" fillId="0" borderId="1" xfId="0" applyFont="1" applyFill="1" applyBorder="1" applyProtection="1">
      <protection locked="0"/>
    </xf>
    <xf numFmtId="0" fontId="38" fillId="0" borderId="1" xfId="0" applyFont="1" applyFill="1" applyBorder="1" applyAlignment="1" applyProtection="1">
      <alignment horizontal="center"/>
      <protection locked="0"/>
    </xf>
    <xf numFmtId="0" fontId="44" fillId="0" borderId="1" xfId="0" applyFont="1" applyFill="1" applyBorder="1" applyAlignment="1" applyProtection="1">
      <alignment horizontal="center"/>
      <protection locked="0"/>
    </xf>
    <xf numFmtId="0" fontId="32" fillId="0" borderId="0" xfId="0" applyFont="1" applyFill="1" applyBorder="1" applyProtection="1">
      <protection locked="0"/>
    </xf>
    <xf numFmtId="0" fontId="2" fillId="0" borderId="1" xfId="0" applyFont="1" applyFill="1" applyBorder="1" applyAlignment="1" applyProtection="1">
      <alignment horizontal="center" vertical="center"/>
      <protection locked="0"/>
    </xf>
    <xf numFmtId="44" fontId="2" fillId="0" borderId="1" xfId="0" applyNumberFormat="1" applyFont="1" applyBorder="1" applyAlignment="1" applyProtection="1">
      <alignment horizontal="center" vertical="center"/>
      <protection locked="0"/>
    </xf>
    <xf numFmtId="44" fontId="2" fillId="0" borderId="7" xfId="0" applyNumberFormat="1" applyFont="1" applyFill="1" applyBorder="1" applyAlignment="1" applyProtection="1">
      <alignment horizontal="center" vertical="center"/>
      <protection locked="0"/>
    </xf>
    <xf numFmtId="15" fontId="9" fillId="0" borderId="1" xfId="0" applyNumberFormat="1" applyFont="1" applyFill="1" applyBorder="1" applyAlignment="1" applyProtection="1">
      <alignment horizontal="center"/>
      <protection locked="0"/>
    </xf>
    <xf numFmtId="0" fontId="9" fillId="0" borderId="1" xfId="0" applyFont="1" applyFill="1" applyBorder="1" applyAlignment="1" applyProtection="1">
      <alignment horizontal="center"/>
      <protection locked="0"/>
    </xf>
    <xf numFmtId="1" fontId="9" fillId="0" borderId="1" xfId="0" applyNumberFormat="1" applyFont="1" applyFill="1" applyBorder="1" applyAlignment="1" applyProtection="1">
      <alignment horizontal="center" vertical="center"/>
      <protection locked="0"/>
    </xf>
    <xf numFmtId="165" fontId="9" fillId="0" borderId="1" xfId="0" applyNumberFormat="1" applyFont="1" applyFill="1" applyBorder="1" applyAlignment="1" applyProtection="1">
      <alignment horizontal="center" vertical="center"/>
      <protection locked="0"/>
    </xf>
    <xf numFmtId="165" fontId="9" fillId="0" borderId="0" xfId="0" applyNumberFormat="1" applyFont="1" applyFill="1" applyAlignment="1">
      <alignment horizontal="center" vertical="center"/>
    </xf>
    <xf numFmtId="0" fontId="39" fillId="0" borderId="1" xfId="0" applyFont="1" applyFill="1" applyBorder="1" applyProtection="1">
      <protection locked="0"/>
    </xf>
    <xf numFmtId="0" fontId="68" fillId="0" borderId="1" xfId="0" applyFont="1" applyFill="1" applyBorder="1" applyProtection="1">
      <protection locked="0"/>
    </xf>
    <xf numFmtId="0" fontId="15" fillId="0" borderId="0" xfId="0" applyFont="1" applyFill="1" applyAlignment="1" applyProtection="1">
      <alignment horizontal="left"/>
      <protection locked="0"/>
    </xf>
    <xf numFmtId="0" fontId="31" fillId="0" borderId="0" xfId="0" applyFont="1" applyFill="1" applyAlignment="1" applyProtection="1">
      <alignment horizontal="center"/>
      <protection locked="0"/>
    </xf>
    <xf numFmtId="0" fontId="32" fillId="0" borderId="0" xfId="0" applyFont="1" applyFill="1" applyProtection="1">
      <protection locked="0"/>
    </xf>
    <xf numFmtId="170" fontId="9" fillId="0" borderId="1" xfId="0" applyNumberFormat="1" applyFont="1" applyFill="1" applyBorder="1" applyAlignment="1" applyProtection="1">
      <alignment horizontal="center"/>
      <protection locked="0"/>
    </xf>
    <xf numFmtId="164" fontId="2" fillId="0" borderId="1" xfId="6" applyNumberFormat="1" applyFont="1" applyFill="1" applyBorder="1" applyAlignment="1" applyProtection="1">
      <alignment horizontal="center" vertical="center"/>
      <protection locked="0"/>
    </xf>
    <xf numFmtId="0" fontId="76" fillId="0" borderId="1" xfId="0" applyFont="1" applyBorder="1" applyAlignment="1" applyProtection="1">
      <alignment horizontal="left"/>
      <protection locked="0"/>
    </xf>
    <xf numFmtId="44" fontId="2" fillId="0" borderId="1" xfId="6" applyFont="1" applyFill="1" applyBorder="1" applyAlignment="1" applyProtection="1">
      <alignment horizontal="center" vertical="center"/>
      <protection locked="0"/>
    </xf>
    <xf numFmtId="44" fontId="80" fillId="0" borderId="1" xfId="6" applyFont="1" applyFill="1" applyBorder="1" applyAlignment="1" applyProtection="1">
      <alignment horizontal="center" vertical="center"/>
      <protection locked="0"/>
    </xf>
    <xf numFmtId="171" fontId="2" fillId="0" borderId="7" xfId="0" applyNumberFormat="1" applyFont="1" applyFill="1" applyBorder="1" applyAlignment="1" applyProtection="1">
      <alignment horizontal="center" vertical="center"/>
      <protection locked="0"/>
    </xf>
    <xf numFmtId="16" fontId="38" fillId="0" borderId="0" xfId="0" applyNumberFormat="1" applyFont="1" applyFill="1" applyBorder="1" applyAlignment="1" applyProtection="1">
      <alignment horizontal="center"/>
    </xf>
    <xf numFmtId="0" fontId="39" fillId="0" borderId="0" xfId="0" applyFont="1" applyFill="1" applyAlignment="1">
      <alignment horizontal="right" vertical="center"/>
    </xf>
    <xf numFmtId="0" fontId="39" fillId="0" borderId="0" xfId="0" applyFont="1" applyFill="1" applyAlignment="1">
      <alignment vertical="center"/>
    </xf>
    <xf numFmtId="0" fontId="39" fillId="0" borderId="0" xfId="0" applyFont="1" applyFill="1" applyAlignment="1">
      <alignment horizontal="center" vertical="center"/>
    </xf>
    <xf numFmtId="0" fontId="40" fillId="0" borderId="0" xfId="0" applyFont="1" applyFill="1" applyBorder="1" applyAlignment="1" applyProtection="1">
      <alignment horizontal="left"/>
    </xf>
    <xf numFmtId="0" fontId="39" fillId="0" borderId="0" xfId="0" applyFont="1" applyFill="1" applyBorder="1" applyAlignment="1" applyProtection="1">
      <alignment horizontal="center"/>
    </xf>
    <xf numFmtId="0" fontId="45" fillId="0" borderId="0" xfId="0" applyFont="1" applyFill="1" applyBorder="1" applyAlignment="1" applyProtection="1">
      <alignment vertical="center"/>
    </xf>
    <xf numFmtId="0" fontId="31" fillId="0" borderId="0" xfId="0" applyFont="1" applyFill="1" applyBorder="1" applyAlignment="1" applyProtection="1"/>
    <xf numFmtId="0" fontId="31" fillId="0" borderId="0" xfId="0" applyFont="1" applyFill="1" applyBorder="1" applyAlignment="1" applyProtection="1">
      <alignment horizontal="center"/>
    </xf>
    <xf numFmtId="0" fontId="44" fillId="0" borderId="0" xfId="0" applyFont="1" applyFill="1" applyBorder="1" applyAlignment="1" applyProtection="1">
      <alignment horizontal="center"/>
    </xf>
    <xf numFmtId="0" fontId="68" fillId="0" borderId="1" xfId="0" applyFont="1" applyFill="1" applyBorder="1" applyAlignment="1" applyProtection="1">
      <alignment horizontal="center" vertical="center"/>
      <protection locked="0"/>
    </xf>
    <xf numFmtId="165" fontId="68" fillId="0" borderId="1" xfId="6" applyNumberFormat="1" applyFont="1" applyFill="1" applyBorder="1" applyAlignment="1" applyProtection="1">
      <alignment horizontal="center" vertical="center"/>
      <protection locked="0"/>
    </xf>
    <xf numFmtId="0" fontId="31" fillId="0" borderId="0" xfId="0" applyFont="1" applyFill="1" applyBorder="1" applyAlignment="1" applyProtection="1">
      <alignment vertical="center"/>
    </xf>
    <xf numFmtId="0" fontId="5" fillId="0" borderId="1"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xf>
    <xf numFmtId="0" fontId="44" fillId="0" borderId="0" xfId="0" applyFont="1" applyFill="1" applyBorder="1" applyAlignment="1" applyProtection="1">
      <alignment horizontal="center" vertical="center"/>
    </xf>
    <xf numFmtId="167" fontId="9" fillId="0" borderId="1" xfId="6" applyNumberFormat="1" applyFont="1" applyFill="1" applyBorder="1" applyAlignment="1">
      <alignment horizontal="center" vertical="center"/>
    </xf>
    <xf numFmtId="15" fontId="68" fillId="0" borderId="0" xfId="0" applyNumberFormat="1" applyFont="1" applyFill="1" applyBorder="1" applyAlignment="1" applyProtection="1">
      <alignment horizontal="center" vertical="center"/>
    </xf>
    <xf numFmtId="0" fontId="68" fillId="0" borderId="0" xfId="0" applyFont="1" applyFill="1" applyBorder="1" applyAlignment="1" applyProtection="1">
      <alignment vertical="center"/>
    </xf>
    <xf numFmtId="0" fontId="68" fillId="0" borderId="0" xfId="0" applyFont="1" applyFill="1" applyBorder="1" applyAlignment="1" applyProtection="1">
      <alignment horizontal="center" vertical="center"/>
    </xf>
    <xf numFmtId="0" fontId="68" fillId="0" borderId="1"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xf>
    <xf numFmtId="44" fontId="5" fillId="0" borderId="1" xfId="0" applyNumberFormat="1" applyFont="1" applyFill="1" applyBorder="1" applyAlignment="1" applyProtection="1">
      <alignment vertical="center"/>
      <protection locked="0"/>
    </xf>
    <xf numFmtId="0" fontId="25" fillId="0" borderId="0" xfId="0" applyFont="1" applyFill="1" applyBorder="1" applyAlignment="1">
      <alignment vertical="center"/>
    </xf>
    <xf numFmtId="0" fontId="5" fillId="0" borderId="0" xfId="0" applyFont="1" applyFill="1" applyBorder="1" applyAlignment="1" applyProtection="1">
      <alignment horizontal="center" vertical="center"/>
    </xf>
    <xf numFmtId="44" fontId="5" fillId="0" borderId="1" xfId="0" applyNumberFormat="1" applyFont="1" applyFill="1" applyBorder="1" applyAlignment="1" applyProtection="1">
      <alignment horizontal="center" vertical="center"/>
      <protection locked="0"/>
    </xf>
    <xf numFmtId="15" fontId="108" fillId="0" borderId="1" xfId="0" applyNumberFormat="1" applyFont="1" applyFill="1" applyBorder="1" applyAlignment="1" applyProtection="1">
      <alignment vertical="center"/>
      <protection locked="0"/>
    </xf>
    <xf numFmtId="0" fontId="108" fillId="0" borderId="1" xfId="0" applyFont="1" applyFill="1" applyBorder="1" applyAlignment="1" applyProtection="1">
      <alignment vertical="center"/>
      <protection locked="0"/>
    </xf>
    <xf numFmtId="0" fontId="109" fillId="0" borderId="0" xfId="0" applyFont="1" applyFill="1" applyAlignment="1">
      <alignment horizontal="right"/>
    </xf>
    <xf numFmtId="0" fontId="108" fillId="0" borderId="0" xfId="0" applyFont="1" applyFill="1" applyBorder="1" applyAlignment="1" applyProtection="1">
      <alignment vertical="center"/>
      <protection locked="0"/>
    </xf>
    <xf numFmtId="0" fontId="68" fillId="0" borderId="0" xfId="0" applyFont="1" applyFill="1" applyBorder="1" applyAlignment="1" applyProtection="1">
      <alignment horizontal="center" vertical="center"/>
      <protection locked="0"/>
    </xf>
    <xf numFmtId="44" fontId="5" fillId="0" borderId="0" xfId="0" applyNumberFormat="1" applyFont="1" applyFill="1" applyBorder="1" applyAlignment="1" applyProtection="1">
      <alignment horizontal="center" vertical="center"/>
      <protection locked="0"/>
    </xf>
    <xf numFmtId="167" fontId="80" fillId="0" borderId="0" xfId="6" applyNumberFormat="1" applyFont="1" applyFill="1" applyBorder="1" applyAlignment="1">
      <alignment vertical="center"/>
    </xf>
    <xf numFmtId="0" fontId="5" fillId="0" borderId="0" xfId="0" applyFont="1" applyFill="1" applyBorder="1" applyAlignment="1" applyProtection="1">
      <alignment horizontal="center" vertical="center"/>
      <protection locked="0"/>
    </xf>
    <xf numFmtId="167" fontId="9" fillId="0" borderId="0" xfId="6" applyNumberFormat="1" applyFont="1" applyFill="1" applyBorder="1" applyAlignment="1">
      <alignment horizontal="center" vertical="center"/>
    </xf>
    <xf numFmtId="165" fontId="72" fillId="2" borderId="0" xfId="0" applyNumberFormat="1" applyFont="1" applyFill="1" applyAlignment="1">
      <alignment horizontal="center"/>
    </xf>
    <xf numFmtId="0" fontId="15" fillId="0" borderId="0" xfId="0" applyFont="1" applyFill="1" applyAlignment="1">
      <alignment horizontal="left" vertical="top"/>
    </xf>
    <xf numFmtId="0" fontId="45" fillId="0" borderId="1" xfId="0" applyFont="1" applyFill="1" applyBorder="1" applyAlignment="1" applyProtection="1">
      <alignment horizontal="center" vertical="center"/>
      <protection locked="0"/>
    </xf>
    <xf numFmtId="165" fontId="31" fillId="0" borderId="1" xfId="0" applyNumberFormat="1" applyFont="1" applyFill="1" applyBorder="1" applyAlignment="1" applyProtection="1">
      <alignment horizontal="center" vertical="center"/>
      <protection locked="0"/>
    </xf>
    <xf numFmtId="0" fontId="31" fillId="0" borderId="0" xfId="0" applyFont="1" applyFill="1" applyBorder="1" applyAlignment="1">
      <alignment horizontal="center" vertical="center"/>
    </xf>
    <xf numFmtId="0" fontId="31" fillId="0" borderId="1" xfId="0" applyFont="1" applyFill="1" applyBorder="1" applyAlignment="1" applyProtection="1">
      <alignment horizontal="center" vertical="center"/>
      <protection locked="0"/>
    </xf>
    <xf numFmtId="1" fontId="68" fillId="0" borderId="1" xfId="0" applyNumberFormat="1" applyFont="1" applyFill="1" applyBorder="1" applyAlignment="1" applyProtection="1">
      <alignment horizontal="center" vertical="center"/>
      <protection locked="0"/>
    </xf>
    <xf numFmtId="165" fontId="5" fillId="0" borderId="1" xfId="0" applyNumberFormat="1" applyFont="1" applyFill="1" applyBorder="1" applyAlignment="1" applyProtection="1">
      <alignment horizontal="center" vertical="center"/>
      <protection locked="0"/>
    </xf>
    <xf numFmtId="15" fontId="68" fillId="0" borderId="1" xfId="0" applyNumberFormat="1" applyFont="1" applyFill="1" applyBorder="1" applyAlignment="1" applyProtection="1">
      <alignment horizontal="left" vertical="center"/>
      <protection locked="0"/>
    </xf>
    <xf numFmtId="0" fontId="68" fillId="0" borderId="1"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protection locked="0"/>
    </xf>
    <xf numFmtId="0" fontId="36" fillId="0" borderId="0" xfId="0" applyFont="1" applyFill="1" applyBorder="1"/>
    <xf numFmtId="0" fontId="68" fillId="0" borderId="0" xfId="0" applyFont="1" applyFill="1" applyBorder="1" applyAlignment="1" applyProtection="1">
      <alignment horizontal="left" vertical="center"/>
      <protection locked="0"/>
    </xf>
    <xf numFmtId="167" fontId="9" fillId="0" borderId="0" xfId="6" applyNumberFormat="1" applyFont="1" applyFill="1" applyBorder="1" applyAlignment="1">
      <alignment vertical="center"/>
    </xf>
    <xf numFmtId="0" fontId="39" fillId="0" borderId="0" xfId="0" applyFont="1" applyFill="1" applyBorder="1" applyAlignment="1">
      <alignment horizontal="center" vertical="center"/>
    </xf>
    <xf numFmtId="1" fontId="9" fillId="0" borderId="0" xfId="6" applyNumberFormat="1" applyFont="1" applyFill="1" applyBorder="1" applyAlignment="1">
      <alignment horizontal="center" vertical="center"/>
    </xf>
    <xf numFmtId="165" fontId="2" fillId="0" borderId="0" xfId="0" applyNumberFormat="1" applyFont="1" applyFill="1" applyBorder="1" applyAlignment="1">
      <alignment horizontal="center" vertical="center"/>
    </xf>
    <xf numFmtId="0" fontId="31" fillId="0" borderId="0" xfId="0" applyFont="1" applyFill="1" applyProtection="1"/>
    <xf numFmtId="0" fontId="31" fillId="0" borderId="0" xfId="0" applyFont="1" applyFill="1" applyAlignment="1" applyProtection="1">
      <alignment horizontal="center"/>
    </xf>
    <xf numFmtId="0" fontId="0" fillId="0" borderId="0" xfId="0" applyProtection="1"/>
    <xf numFmtId="0" fontId="47" fillId="0" borderId="0" xfId="0" applyFont="1" applyFill="1" applyAlignment="1" applyProtection="1">
      <alignment vertical="center"/>
    </xf>
    <xf numFmtId="0" fontId="66" fillId="0" borderId="0" xfId="0" applyFont="1" applyFill="1" applyAlignment="1" applyProtection="1">
      <alignment horizontal="right"/>
    </xf>
    <xf numFmtId="0" fontId="41" fillId="0" borderId="0" xfId="0" applyFont="1" applyFill="1" applyAlignment="1" applyProtection="1">
      <alignment horizontal="left"/>
    </xf>
    <xf numFmtId="0" fontId="65" fillId="0" borderId="0" xfId="0" applyFont="1" applyFill="1" applyAlignment="1" applyProtection="1">
      <alignment horizontal="left"/>
    </xf>
    <xf numFmtId="0" fontId="75" fillId="0" borderId="0" xfId="0" applyFont="1" applyAlignment="1" applyProtection="1">
      <alignment horizontal="right"/>
    </xf>
    <xf numFmtId="16" fontId="38" fillId="0" borderId="0" xfId="0" applyNumberFormat="1" applyFont="1" applyAlignment="1" applyProtection="1">
      <alignment horizontal="center" vertical="center" wrapText="1"/>
    </xf>
    <xf numFmtId="16" fontId="38" fillId="0" borderId="0" xfId="0" quotePrefix="1" applyNumberFormat="1" applyFont="1" applyAlignment="1" applyProtection="1">
      <alignment horizontal="center" vertical="center"/>
    </xf>
    <xf numFmtId="0" fontId="38" fillId="0" borderId="0" xfId="0" applyFont="1" applyFill="1" applyAlignment="1" applyProtection="1">
      <alignment horizontal="center" vertical="center" wrapText="1"/>
    </xf>
    <xf numFmtId="0" fontId="43" fillId="0" borderId="0" xfId="0" applyFont="1" applyFill="1" applyAlignment="1" applyProtection="1">
      <alignment vertical="center"/>
    </xf>
    <xf numFmtId="16" fontId="38" fillId="0" borderId="0" xfId="0" applyNumberFormat="1" applyFont="1" applyFill="1" applyAlignment="1" applyProtection="1">
      <alignment horizontal="center" vertical="center" wrapText="1"/>
    </xf>
    <xf numFmtId="16" fontId="36" fillId="0" borderId="0" xfId="0" applyNumberFormat="1" applyFont="1" applyFill="1" applyAlignment="1" applyProtection="1">
      <alignment horizontal="center" vertical="center" wrapText="1"/>
    </xf>
    <xf numFmtId="16" fontId="38" fillId="0" borderId="0" xfId="0" quotePrefix="1" applyNumberFormat="1" applyFont="1" applyFill="1" applyAlignment="1" applyProtection="1">
      <alignment vertical="center" wrapText="1"/>
    </xf>
    <xf numFmtId="0" fontId="31" fillId="0" borderId="0" xfId="0" applyFont="1" applyFill="1" applyAlignment="1" applyProtection="1">
      <alignment horizontal="left"/>
    </xf>
    <xf numFmtId="0" fontId="31" fillId="0" borderId="0" xfId="0" applyFont="1" applyProtection="1"/>
    <xf numFmtId="0" fontId="76" fillId="0" borderId="0" xfId="0" applyFont="1" applyAlignment="1" applyProtection="1">
      <alignment horizontal="right"/>
    </xf>
    <xf numFmtId="0" fontId="67" fillId="0" borderId="0" xfId="0" applyFont="1" applyAlignment="1" applyProtection="1">
      <alignment horizontal="right"/>
    </xf>
    <xf numFmtId="0" fontId="2" fillId="0" borderId="0" xfId="0" applyFont="1" applyBorder="1" applyAlignment="1" applyProtection="1">
      <alignment horizontal="center" vertical="center"/>
    </xf>
    <xf numFmtId="0" fontId="2" fillId="0" borderId="0" xfId="0" applyFont="1" applyFill="1" applyAlignment="1" applyProtection="1">
      <alignment horizontal="center" vertical="center"/>
    </xf>
    <xf numFmtId="0" fontId="43" fillId="0" borderId="0" xfId="0" applyFont="1" applyFill="1" applyAlignment="1" applyProtection="1">
      <alignment horizontal="center"/>
    </xf>
    <xf numFmtId="1" fontId="72" fillId="2" borderId="0" xfId="0" applyNumberFormat="1" applyFont="1" applyFill="1" applyBorder="1" applyAlignment="1" applyProtection="1">
      <alignment horizontal="center" vertical="center"/>
    </xf>
    <xf numFmtId="0" fontId="37" fillId="0" borderId="0" xfId="0" applyFont="1" applyFill="1" applyAlignment="1" applyProtection="1">
      <alignment horizontal="left"/>
    </xf>
    <xf numFmtId="0" fontId="59" fillId="0" borderId="0" xfId="0" applyFont="1" applyAlignment="1" applyProtection="1">
      <alignment horizontal="right"/>
    </xf>
    <xf numFmtId="0" fontId="2" fillId="0" borderId="0" xfId="0" applyFont="1" applyAlignment="1" applyProtection="1">
      <alignment horizontal="center" vertical="center"/>
    </xf>
    <xf numFmtId="0" fontId="58" fillId="0" borderId="0" xfId="0" applyFont="1" applyBorder="1" applyAlignment="1" applyProtection="1">
      <alignment vertical="center"/>
    </xf>
    <xf numFmtId="0" fontId="56" fillId="0" borderId="0" xfId="0" applyFont="1" applyBorder="1" applyAlignment="1" applyProtection="1">
      <alignment horizontal="center" vertical="center"/>
    </xf>
    <xf numFmtId="0" fontId="38" fillId="0" borderId="0" xfId="0" applyFont="1" applyBorder="1" applyAlignment="1" applyProtection="1">
      <alignment horizontal="center" vertical="center"/>
    </xf>
    <xf numFmtId="0" fontId="65" fillId="0" borderId="0" xfId="0" applyFont="1" applyFill="1" applyBorder="1" applyAlignment="1" applyProtection="1">
      <alignment horizontal="left" vertical="center"/>
    </xf>
    <xf numFmtId="0" fontId="31" fillId="0" borderId="0" xfId="0" applyFont="1" applyFill="1" applyAlignment="1" applyProtection="1">
      <alignment vertical="center"/>
    </xf>
    <xf numFmtId="0" fontId="39" fillId="0" borderId="0" xfId="0" applyFont="1" applyFill="1" applyProtection="1"/>
    <xf numFmtId="0" fontId="39" fillId="0" borderId="0" xfId="0" applyFont="1" applyFill="1" applyAlignment="1" applyProtection="1">
      <alignment horizontal="center"/>
    </xf>
    <xf numFmtId="0" fontId="38" fillId="0" borderId="0" xfId="0" applyFont="1" applyFill="1" applyAlignment="1" applyProtection="1">
      <alignment horizontal="right"/>
    </xf>
    <xf numFmtId="0" fontId="9" fillId="0" borderId="0" xfId="0" applyFont="1" applyFill="1" applyAlignment="1" applyProtection="1">
      <alignment horizontal="center"/>
    </xf>
    <xf numFmtId="0" fontId="40" fillId="0" borderId="0" xfId="0" applyFont="1" applyFill="1" applyProtection="1"/>
    <xf numFmtId="0" fontId="36" fillId="0" borderId="0" xfId="0" applyFont="1" applyFill="1" applyAlignment="1" applyProtection="1">
      <alignment horizontal="right"/>
    </xf>
    <xf numFmtId="15" fontId="9" fillId="0" borderId="0" xfId="0" applyNumberFormat="1" applyFont="1" applyFill="1" applyBorder="1" applyAlignment="1" applyProtection="1">
      <alignment horizontal="center"/>
    </xf>
    <xf numFmtId="15" fontId="2" fillId="0" borderId="0" xfId="0" applyNumberFormat="1" applyFont="1" applyFill="1" applyAlignment="1" applyProtection="1">
      <alignment horizontal="center"/>
    </xf>
    <xf numFmtId="0" fontId="43" fillId="0" borderId="0" xfId="0" applyFont="1" applyFill="1" applyProtection="1"/>
    <xf numFmtId="0" fontId="43" fillId="0" borderId="0" xfId="0" applyFont="1" applyFill="1" applyAlignment="1" applyProtection="1">
      <alignment horizontal="right"/>
    </xf>
    <xf numFmtId="1" fontId="2" fillId="0" borderId="0" xfId="0" applyNumberFormat="1" applyFont="1" applyFill="1" applyAlignment="1" applyProtection="1">
      <alignment horizontal="center"/>
    </xf>
    <xf numFmtId="0" fontId="38" fillId="0" borderId="2" xfId="0" applyFont="1" applyFill="1" applyBorder="1" applyAlignment="1" applyProtection="1">
      <alignment horizontal="center"/>
    </xf>
    <xf numFmtId="0" fontId="36" fillId="0" borderId="0" xfId="0" applyFont="1" applyFill="1" applyAlignment="1" applyProtection="1">
      <alignment horizontal="center" wrapText="1"/>
    </xf>
    <xf numFmtId="0" fontId="40" fillId="0" borderId="0" xfId="0" applyFont="1" applyFill="1" applyAlignment="1" applyProtection="1">
      <alignment horizontal="center"/>
    </xf>
    <xf numFmtId="15" fontId="38" fillId="0" borderId="0" xfId="0" applyNumberFormat="1" applyFont="1" applyFill="1" applyAlignment="1" applyProtection="1">
      <alignment horizontal="center"/>
    </xf>
    <xf numFmtId="1" fontId="38" fillId="0" borderId="0" xfId="0" applyNumberFormat="1" applyFont="1" applyFill="1" applyAlignment="1" applyProtection="1">
      <alignment horizontal="center"/>
    </xf>
    <xf numFmtId="0" fontId="70" fillId="0" borderId="0" xfId="0" applyFont="1" applyFill="1" applyAlignment="1" applyProtection="1">
      <alignment horizontal="center" wrapText="1"/>
    </xf>
    <xf numFmtId="0" fontId="38" fillId="0" borderId="0" xfId="0" applyFont="1" applyFill="1" applyBorder="1" applyAlignment="1" applyProtection="1">
      <alignment horizontal="right"/>
    </xf>
    <xf numFmtId="0" fontId="40" fillId="0" borderId="0" xfId="0" applyNumberFormat="1" applyFont="1" applyFill="1" applyAlignment="1" applyProtection="1">
      <alignment horizontal="center"/>
    </xf>
    <xf numFmtId="0" fontId="38" fillId="0" borderId="0" xfId="0" applyFont="1" applyFill="1" applyAlignment="1" applyProtection="1">
      <alignment horizontal="left"/>
    </xf>
    <xf numFmtId="0" fontId="68" fillId="0" borderId="0" xfId="0" applyFont="1" applyFill="1" applyAlignment="1" applyProtection="1">
      <alignment horizontal="center"/>
    </xf>
    <xf numFmtId="1" fontId="68" fillId="0" borderId="0" xfId="0" applyNumberFormat="1" applyFont="1" applyFill="1" applyAlignment="1" applyProtection="1">
      <alignment horizontal="center" vertical="center"/>
    </xf>
    <xf numFmtId="165" fontId="68" fillId="0" borderId="0" xfId="0" applyNumberFormat="1" applyFont="1" applyFill="1" applyAlignment="1" applyProtection="1">
      <alignment horizontal="center" vertical="center"/>
    </xf>
    <xf numFmtId="0" fontId="29" fillId="0" borderId="0" xfId="0" applyFont="1" applyFill="1" applyProtection="1"/>
    <xf numFmtId="0" fontId="35" fillId="0" borderId="0" xfId="0" applyFont="1" applyFill="1" applyBorder="1" applyProtection="1"/>
    <xf numFmtId="0" fontId="33" fillId="0" borderId="0" xfId="0" applyFont="1" applyFill="1" applyBorder="1" applyProtection="1"/>
    <xf numFmtId="0" fontId="44" fillId="0" borderId="0" xfId="0" applyFont="1" applyFill="1" applyProtection="1"/>
    <xf numFmtId="0" fontId="38" fillId="0" borderId="0" xfId="0" applyFont="1" applyFill="1" applyProtection="1"/>
    <xf numFmtId="0" fontId="44" fillId="0" borderId="0" xfId="0" applyFont="1" applyFill="1" applyBorder="1" applyProtection="1"/>
    <xf numFmtId="0" fontId="38" fillId="0" borderId="0" xfId="0" applyFont="1" applyFill="1" applyBorder="1" applyProtection="1"/>
    <xf numFmtId="0" fontId="29" fillId="0" borderId="0" xfId="0" applyFont="1" applyFill="1" applyBorder="1" applyProtection="1"/>
    <xf numFmtId="0" fontId="46" fillId="0" borderId="0" xfId="0" applyFont="1" applyFill="1" applyBorder="1" applyAlignment="1" applyProtection="1">
      <alignment horizontal="right" vertical="center"/>
    </xf>
    <xf numFmtId="15" fontId="2" fillId="0" borderId="0" xfId="0" applyNumberFormat="1" applyFont="1" applyFill="1" applyBorder="1" applyAlignment="1" applyProtection="1">
      <alignment horizontal="left" vertical="center"/>
    </xf>
    <xf numFmtId="0" fontId="44" fillId="0" borderId="0"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44"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xf>
    <xf numFmtId="0" fontId="29" fillId="0" borderId="0" xfId="0" applyFont="1" applyFill="1" applyBorder="1" applyAlignment="1" applyProtection="1">
      <alignment vertical="center"/>
    </xf>
    <xf numFmtId="0" fontId="45" fillId="0" borderId="0" xfId="0" applyFont="1" applyFill="1" applyBorder="1" applyAlignment="1" applyProtection="1">
      <alignment horizontal="center"/>
    </xf>
    <xf numFmtId="15" fontId="45" fillId="0" borderId="0" xfId="0" applyNumberFormat="1" applyFont="1" applyFill="1" applyBorder="1" applyAlignment="1" applyProtection="1">
      <alignment horizontal="center"/>
    </xf>
    <xf numFmtId="0" fontId="45" fillId="0" borderId="0" xfId="0" applyFont="1" applyFill="1" applyBorder="1" applyAlignment="1" applyProtection="1"/>
    <xf numFmtId="0" fontId="39" fillId="0" borderId="0" xfId="0" applyFont="1" applyFill="1" applyBorder="1" applyAlignment="1" applyProtection="1"/>
    <xf numFmtId="0" fontId="31" fillId="0" borderId="0" xfId="0" applyFont="1" applyFill="1" applyBorder="1" applyProtection="1"/>
    <xf numFmtId="0" fontId="32" fillId="0" borderId="0" xfId="0" applyFont="1" applyFill="1" applyBorder="1" applyProtection="1"/>
    <xf numFmtId="0" fontId="15" fillId="0" borderId="0" xfId="0" applyFont="1" applyFill="1" applyAlignment="1" applyProtection="1">
      <alignment horizontal="left"/>
    </xf>
    <xf numFmtId="0" fontId="32" fillId="0" borderId="0" xfId="0" applyFont="1" applyFill="1" applyProtection="1"/>
    <xf numFmtId="0" fontId="44" fillId="0" borderId="0" xfId="0" applyFont="1" applyFill="1" applyBorder="1" applyAlignment="1" applyProtection="1">
      <alignment horizontal="left" vertical="center"/>
    </xf>
    <xf numFmtId="0" fontId="44" fillId="0" borderId="4" xfId="0" applyFont="1" applyFill="1" applyBorder="1" applyAlignment="1" applyProtection="1">
      <alignment vertical="center"/>
    </xf>
    <xf numFmtId="0" fontId="29" fillId="0" borderId="0" xfId="0" applyFont="1" applyFill="1" applyBorder="1" applyAlignment="1" applyProtection="1">
      <alignment horizontal="center"/>
    </xf>
    <xf numFmtId="0" fontId="29" fillId="0" borderId="0" xfId="0" applyFont="1" applyProtection="1"/>
    <xf numFmtId="0" fontId="32" fillId="0" borderId="0" xfId="0" applyFont="1" applyFill="1" applyAlignment="1" applyProtection="1">
      <alignment horizontal="center"/>
    </xf>
    <xf numFmtId="1" fontId="32" fillId="0" borderId="0" xfId="0" applyNumberFormat="1" applyFont="1" applyFill="1" applyBorder="1" applyAlignment="1" applyProtection="1">
      <alignment horizontal="center"/>
    </xf>
    <xf numFmtId="15" fontId="81" fillId="0" borderId="1" xfId="0" applyNumberFormat="1" applyFont="1" applyFill="1" applyBorder="1" applyAlignment="1" applyProtection="1">
      <alignment horizontal="left" vertical="center"/>
      <protection locked="0"/>
    </xf>
    <xf numFmtId="0" fontId="81" fillId="0" borderId="1" xfId="0" applyFont="1" applyFill="1" applyBorder="1" applyAlignment="1" applyProtection="1">
      <alignment horizontal="left" vertical="center"/>
      <protection locked="0"/>
    </xf>
    <xf numFmtId="0" fontId="80" fillId="0" borderId="1" xfId="0" applyFont="1" applyFill="1" applyBorder="1" applyAlignment="1" applyProtection="1">
      <alignment horizontal="left" vertical="center"/>
      <protection locked="0"/>
    </xf>
    <xf numFmtId="0" fontId="49" fillId="0" borderId="1" xfId="0" applyFont="1" applyFill="1" applyBorder="1" applyAlignment="1" applyProtection="1">
      <alignment horizontal="center" vertical="center" wrapText="1"/>
      <protection locked="0"/>
    </xf>
    <xf numFmtId="44" fontId="31" fillId="0" borderId="1" xfId="0" applyNumberFormat="1" applyFont="1" applyFill="1" applyBorder="1" applyAlignment="1" applyProtection="1">
      <alignment horizontal="center" vertical="center"/>
      <protection locked="0"/>
    </xf>
    <xf numFmtId="0" fontId="112" fillId="0" borderId="0" xfId="0" applyFont="1" applyFill="1" applyAlignment="1" applyProtection="1">
      <alignment horizontal="right"/>
    </xf>
    <xf numFmtId="165" fontId="72" fillId="2" borderId="0" xfId="0" applyNumberFormat="1" applyFont="1" applyFill="1" applyAlignment="1" applyProtection="1">
      <alignment horizontal="center" vertical="center"/>
    </xf>
    <xf numFmtId="165" fontId="45" fillId="0" borderId="1" xfId="6" applyNumberFormat="1" applyFont="1" applyFill="1" applyBorder="1" applyAlignment="1" applyProtection="1">
      <alignment horizontal="center" vertical="center"/>
      <protection locked="0"/>
    </xf>
    <xf numFmtId="165" fontId="44" fillId="0" borderId="1" xfId="0" applyNumberFormat="1" applyFont="1" applyFill="1" applyBorder="1" applyAlignment="1" applyProtection="1">
      <alignment horizontal="center" vertical="center"/>
      <protection locked="0"/>
    </xf>
    <xf numFmtId="165" fontId="39" fillId="0" borderId="1" xfId="0" applyNumberFormat="1" applyFont="1" applyFill="1" applyBorder="1" applyAlignment="1" applyProtection="1">
      <alignment horizontal="center" vertical="center"/>
      <protection locked="0"/>
    </xf>
    <xf numFmtId="165" fontId="38" fillId="0" borderId="1" xfId="0" applyNumberFormat="1" applyFont="1" applyFill="1" applyBorder="1" applyAlignment="1" applyProtection="1">
      <alignment horizontal="center" vertical="center"/>
      <protection locked="0"/>
    </xf>
    <xf numFmtId="15" fontId="43" fillId="0" borderId="1" xfId="0" applyNumberFormat="1" applyFont="1" applyFill="1" applyBorder="1" applyAlignment="1" applyProtection="1">
      <alignment horizontal="left" vertical="center"/>
      <protection locked="0"/>
    </xf>
    <xf numFmtId="0" fontId="43" fillId="0" borderId="1" xfId="0" applyFont="1" applyFill="1" applyBorder="1" applyAlignment="1" applyProtection="1">
      <alignment horizontal="left" vertical="center"/>
      <protection locked="0"/>
    </xf>
    <xf numFmtId="0" fontId="38" fillId="0" borderId="1" xfId="0" applyFont="1" applyFill="1" applyBorder="1" applyAlignment="1" applyProtection="1">
      <alignment horizontal="left" vertical="center"/>
      <protection locked="0"/>
    </xf>
    <xf numFmtId="167" fontId="38" fillId="0" borderId="1" xfId="6" applyNumberFormat="1" applyFont="1" applyFill="1" applyBorder="1" applyAlignment="1" applyProtection="1">
      <alignment horizontal="center" vertical="center"/>
      <protection locked="0"/>
    </xf>
    <xf numFmtId="15" fontId="9" fillId="0" borderId="7" xfId="0" applyNumberFormat="1" applyFont="1" applyFill="1" applyBorder="1" applyAlignment="1" applyProtection="1">
      <alignment horizontal="center" vertical="center"/>
      <protection locked="0"/>
    </xf>
    <xf numFmtId="15"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15" fontId="110" fillId="0" borderId="1" xfId="0" applyNumberFormat="1" applyFont="1" applyFill="1" applyBorder="1" applyAlignment="1" applyProtection="1">
      <alignment horizontal="left" vertical="center"/>
      <protection locked="0"/>
    </xf>
    <xf numFmtId="0" fontId="110" fillId="0" borderId="1" xfId="0" applyFont="1" applyFill="1" applyBorder="1" applyAlignment="1" applyProtection="1">
      <alignment horizontal="left" vertical="center"/>
      <protection locked="0"/>
    </xf>
    <xf numFmtId="0" fontId="45" fillId="0" borderId="1" xfId="0" applyFont="1" applyFill="1" applyBorder="1" applyAlignment="1" applyProtection="1">
      <alignment horizontal="center" vertical="center" wrapText="1"/>
      <protection locked="0"/>
    </xf>
    <xf numFmtId="44" fontId="45" fillId="0" borderId="1" xfId="6" applyFont="1" applyFill="1" applyBorder="1" applyAlignment="1" applyProtection="1">
      <alignment horizontal="center" vertical="center"/>
      <protection locked="0"/>
    </xf>
    <xf numFmtId="44" fontId="45" fillId="0" borderId="1" xfId="0" applyNumberFormat="1" applyFont="1" applyFill="1" applyBorder="1" applyAlignment="1" applyProtection="1">
      <alignment horizontal="center" vertical="center"/>
      <protection locked="0"/>
    </xf>
    <xf numFmtId="0" fontId="79" fillId="0" borderId="0" xfId="0" applyFont="1" applyFill="1" applyAlignment="1" applyProtection="1">
      <alignment horizontal="center"/>
    </xf>
    <xf numFmtId="0" fontId="71" fillId="0" borderId="0" xfId="0" applyFont="1" applyFill="1" applyBorder="1" applyAlignment="1" applyProtection="1">
      <alignment horizontal="center"/>
    </xf>
    <xf numFmtId="0" fontId="11" fillId="0" borderId="0" xfId="1" applyFont="1" applyFill="1" applyBorder="1" applyAlignment="1" applyProtection="1">
      <alignment horizontal="center"/>
    </xf>
    <xf numFmtId="164" fontId="30" fillId="0" borderId="0" xfId="0" applyNumberFormat="1" applyFont="1" applyFill="1" applyAlignment="1">
      <alignment horizontal="center"/>
    </xf>
    <xf numFmtId="164" fontId="30" fillId="0" borderId="0" xfId="0" applyNumberFormat="1" applyFont="1" applyFill="1"/>
    <xf numFmtId="169" fontId="3" fillId="0" borderId="0" xfId="7" applyNumberFormat="1" applyFont="1" applyAlignment="1" applyProtection="1">
      <alignment horizontal="center"/>
    </xf>
    <xf numFmtId="165" fontId="0" fillId="0" borderId="0" xfId="0" applyNumberFormat="1" applyAlignment="1">
      <alignment horizontal="right"/>
    </xf>
    <xf numFmtId="172" fontId="43" fillId="0" borderId="0" xfId="8" applyNumberFormat="1" applyFont="1" applyAlignment="1">
      <alignment horizontal="center"/>
    </xf>
    <xf numFmtId="0" fontId="1" fillId="6" borderId="0" xfId="0" applyFont="1" applyFill="1"/>
    <xf numFmtId="165" fontId="25" fillId="0" borderId="0" xfId="5" applyNumberFormat="1" applyFont="1" applyAlignment="1">
      <alignment horizontal="center"/>
    </xf>
    <xf numFmtId="0" fontId="1" fillId="2" borderId="0" xfId="0" applyFont="1" applyFill="1" applyAlignment="1">
      <alignment horizontal="center" wrapText="1"/>
    </xf>
    <xf numFmtId="171" fontId="0" fillId="2" borderId="0" xfId="0" applyNumberFormat="1" applyFill="1" applyAlignment="1">
      <alignment horizontal="center"/>
    </xf>
    <xf numFmtId="0" fontId="1" fillId="2" borderId="0" xfId="0" applyFont="1" applyFill="1" applyAlignment="1">
      <alignment horizontal="center"/>
    </xf>
    <xf numFmtId="0" fontId="39" fillId="0" borderId="0" xfId="0" applyFont="1" applyFill="1" applyBorder="1" applyProtection="1"/>
    <xf numFmtId="0" fontId="36" fillId="0" borderId="0" xfId="0" applyFont="1" applyFill="1" applyBorder="1" applyProtection="1"/>
    <xf numFmtId="44" fontId="69" fillId="2" borderId="0" xfId="0" applyNumberFormat="1" applyFont="1" applyFill="1" applyAlignment="1">
      <alignment horizontal="center"/>
    </xf>
    <xf numFmtId="0" fontId="97" fillId="0" borderId="0" xfId="0" applyFont="1"/>
    <xf numFmtId="0" fontId="113" fillId="0" borderId="0" xfId="0" applyFont="1"/>
    <xf numFmtId="0" fontId="27" fillId="0" borderId="0" xfId="1" applyFont="1"/>
    <xf numFmtId="167" fontId="72" fillId="2" borderId="0" xfId="0" applyNumberFormat="1" applyFont="1" applyFill="1" applyBorder="1" applyAlignment="1">
      <alignment horizontal="center" vertical="center"/>
    </xf>
    <xf numFmtId="2" fontId="0" fillId="2" borderId="0" xfId="0" applyNumberFormat="1" applyFill="1" applyAlignment="1">
      <alignment horizontal="center"/>
    </xf>
    <xf numFmtId="2" fontId="1" fillId="2" borderId="0" xfId="0" applyNumberFormat="1" applyFont="1" applyFill="1" applyAlignment="1">
      <alignment horizontal="center"/>
    </xf>
    <xf numFmtId="0" fontId="1" fillId="2" borderId="0" xfId="0" applyFont="1" applyFill="1"/>
    <xf numFmtId="0" fontId="43" fillId="7" borderId="0" xfId="0" applyFont="1" applyFill="1" applyBorder="1"/>
    <xf numFmtId="0" fontId="31" fillId="7" borderId="0" xfId="0" applyFont="1" applyFill="1" applyBorder="1" applyAlignment="1">
      <alignment horizontal="center"/>
    </xf>
    <xf numFmtId="0" fontId="72" fillId="9" borderId="0" xfId="0" applyFont="1" applyFill="1" applyBorder="1" applyAlignment="1" applyProtection="1">
      <alignment horizontal="center"/>
    </xf>
    <xf numFmtId="16" fontId="77" fillId="8" borderId="0" xfId="0" applyNumberFormat="1" applyFont="1" applyFill="1" applyAlignment="1">
      <alignment horizontal="center" wrapText="1"/>
    </xf>
    <xf numFmtId="0" fontId="31" fillId="8" borderId="0" xfId="0" applyFont="1" applyFill="1" applyAlignment="1">
      <alignment horizontal="center"/>
    </xf>
    <xf numFmtId="0" fontId="77" fillId="8" borderId="0" xfId="0" applyFont="1" applyFill="1" applyBorder="1" applyAlignment="1" applyProtection="1">
      <alignment horizontal="center"/>
    </xf>
    <xf numFmtId="16" fontId="38" fillId="8" borderId="0" xfId="0" quotePrefix="1" applyNumberFormat="1" applyFont="1" applyFill="1" applyAlignment="1">
      <alignment horizontal="center"/>
    </xf>
    <xf numFmtId="16" fontId="77" fillId="8" borderId="2" xfId="0" applyNumberFormat="1" applyFont="1" applyFill="1" applyBorder="1" applyAlignment="1">
      <alignment horizontal="center" wrapText="1"/>
    </xf>
    <xf numFmtId="0" fontId="115" fillId="0" borderId="0" xfId="0" applyFont="1" applyBorder="1" applyAlignment="1">
      <alignment horizontal="left"/>
    </xf>
    <xf numFmtId="167" fontId="2" fillId="0" borderId="1" xfId="6" applyNumberFormat="1" applyFont="1" applyFill="1" applyBorder="1" applyAlignment="1" applyProtection="1">
      <alignment horizontal="center" vertical="center"/>
      <protection locked="0"/>
    </xf>
    <xf numFmtId="1" fontId="2" fillId="0" borderId="1" xfId="0" applyNumberFormat="1" applyFont="1" applyFill="1" applyBorder="1" applyAlignment="1" applyProtection="1">
      <alignment horizontal="center" vertical="center"/>
      <protection locked="0"/>
    </xf>
    <xf numFmtId="0" fontId="0" fillId="0" borderId="0" xfId="0" applyBorder="1" applyAlignment="1">
      <alignment horizontal="center"/>
    </xf>
    <xf numFmtId="0" fontId="108" fillId="0" borderId="1" xfId="0" applyFont="1" applyFill="1" applyBorder="1" applyAlignment="1" applyProtection="1">
      <alignment vertical="center"/>
      <protection locked="0"/>
    </xf>
    <xf numFmtId="0" fontId="108" fillId="0" borderId="3" xfId="0" applyFont="1" applyFill="1" applyBorder="1" applyAlignment="1" applyProtection="1">
      <alignment vertical="center"/>
      <protection locked="0"/>
    </xf>
    <xf numFmtId="0" fontId="108" fillId="0" borderId="4" xfId="0" applyFont="1" applyFill="1" applyBorder="1" applyAlignment="1" applyProtection="1">
      <alignment vertical="center"/>
      <protection locked="0"/>
    </xf>
    <xf numFmtId="0" fontId="108" fillId="0" borderId="5" xfId="0" applyFont="1" applyFill="1" applyBorder="1" applyAlignment="1" applyProtection="1">
      <alignment vertical="center"/>
      <protection locked="0"/>
    </xf>
    <xf numFmtId="15" fontId="83" fillId="0" borderId="0" xfId="0" applyNumberFormat="1" applyFont="1" applyFill="1" applyBorder="1" applyAlignment="1" applyProtection="1">
      <alignment horizontal="center" vertical="center" wrapText="1"/>
    </xf>
    <xf numFmtId="0" fontId="38" fillId="0" borderId="2" xfId="0" applyFont="1" applyFill="1" applyBorder="1" applyAlignment="1">
      <alignment horizontal="center"/>
    </xf>
    <xf numFmtId="0" fontId="38" fillId="0" borderId="2" xfId="0" applyFont="1" applyFill="1" applyBorder="1" applyAlignment="1">
      <alignment horizontal="center" wrapText="1"/>
    </xf>
    <xf numFmtId="0" fontId="44" fillId="0" borderId="2" xfId="0" applyFont="1" applyFill="1" applyBorder="1" applyAlignment="1">
      <alignment horizontal="left" vertical="center" wrapText="1"/>
    </xf>
    <xf numFmtId="0" fontId="44" fillId="0" borderId="0" xfId="0" applyFont="1" applyFill="1" applyBorder="1" applyAlignment="1">
      <alignment horizontal="center" vertical="center" wrapText="1"/>
    </xf>
    <xf numFmtId="0" fontId="44" fillId="0" borderId="2" xfId="0" applyFont="1" applyFill="1" applyBorder="1" applyAlignment="1">
      <alignment horizontal="left" vertical="center"/>
    </xf>
    <xf numFmtId="0" fontId="44" fillId="0" borderId="4" xfId="0" applyFont="1" applyFill="1" applyBorder="1" applyAlignment="1">
      <alignment horizontal="left" vertical="center"/>
    </xf>
    <xf numFmtId="0" fontId="68" fillId="0" borderId="3" xfId="0" applyFont="1" applyFill="1" applyBorder="1" applyAlignment="1" applyProtection="1">
      <alignment horizontal="center" vertical="center"/>
      <protection locked="0"/>
    </xf>
    <xf numFmtId="0" fontId="68" fillId="0" borderId="4" xfId="0" applyFont="1" applyFill="1" applyBorder="1" applyAlignment="1" applyProtection="1">
      <alignment horizontal="center" vertical="center"/>
      <protection locked="0"/>
    </xf>
    <xf numFmtId="0" fontId="68" fillId="0" borderId="5" xfId="0" applyFont="1" applyFill="1" applyBorder="1" applyAlignment="1" applyProtection="1">
      <alignment horizontal="center" vertical="center"/>
      <protection locked="0"/>
    </xf>
    <xf numFmtId="0" fontId="68" fillId="0" borderId="1" xfId="0" applyFont="1" applyFill="1" applyBorder="1" applyAlignment="1" applyProtection="1">
      <alignment horizontal="center" vertical="center"/>
      <protection locked="0"/>
    </xf>
    <xf numFmtId="167" fontId="80" fillId="0" borderId="1" xfId="6" applyNumberFormat="1" applyFont="1" applyFill="1" applyBorder="1" applyAlignment="1">
      <alignment vertical="center"/>
    </xf>
    <xf numFmtId="0" fontId="68" fillId="0" borderId="3" xfId="0" applyFont="1" applyFill="1" applyBorder="1" applyAlignment="1" applyProtection="1">
      <alignment vertical="center"/>
      <protection locked="0"/>
    </xf>
    <xf numFmtId="0" fontId="68" fillId="0" borderId="4" xfId="0" applyFont="1" applyFill="1" applyBorder="1" applyAlignment="1" applyProtection="1">
      <alignment vertical="center"/>
      <protection locked="0"/>
    </xf>
    <xf numFmtId="0" fontId="68" fillId="0" borderId="5" xfId="0" applyFont="1" applyFill="1" applyBorder="1" applyAlignment="1" applyProtection="1">
      <alignment vertical="center"/>
      <protection locked="0"/>
    </xf>
    <xf numFmtId="0" fontId="44" fillId="0" borderId="0" xfId="0" applyFont="1" applyFill="1" applyBorder="1" applyAlignment="1" applyProtection="1">
      <alignment horizontal="center" vertical="center" wrapText="1"/>
    </xf>
    <xf numFmtId="0" fontId="46" fillId="0" borderId="3" xfId="0" applyFont="1" applyFill="1" applyBorder="1" applyAlignment="1" applyProtection="1">
      <alignment horizontal="left" vertical="center"/>
      <protection locked="0"/>
    </xf>
    <xf numFmtId="0" fontId="46" fillId="0" borderId="4" xfId="0" applyFont="1" applyFill="1" applyBorder="1" applyAlignment="1" applyProtection="1">
      <alignment horizontal="left" vertical="center"/>
      <protection locked="0"/>
    </xf>
    <xf numFmtId="0" fontId="46" fillId="0" borderId="5" xfId="0" applyFont="1" applyFill="1" applyBorder="1" applyAlignment="1" applyProtection="1">
      <alignment horizontal="left" vertical="center"/>
      <protection locked="0"/>
    </xf>
    <xf numFmtId="0" fontId="43" fillId="0" borderId="3" xfId="0" applyFont="1" applyFill="1" applyBorder="1" applyAlignment="1" applyProtection="1">
      <alignment horizontal="left" vertical="center"/>
      <protection locked="0"/>
    </xf>
    <xf numFmtId="0" fontId="43" fillId="0" borderId="4" xfId="0" applyFont="1" applyFill="1" applyBorder="1" applyAlignment="1" applyProtection="1">
      <alignment horizontal="left" vertical="center"/>
      <protection locked="0"/>
    </xf>
    <xf numFmtId="0" fontId="43" fillId="0" borderId="5" xfId="0" applyFont="1" applyFill="1" applyBorder="1" applyAlignment="1" applyProtection="1">
      <alignment horizontal="left" vertical="center"/>
      <protection locked="0"/>
    </xf>
    <xf numFmtId="167" fontId="38" fillId="0" borderId="3" xfId="6" applyNumberFormat="1" applyFont="1" applyFill="1" applyBorder="1" applyAlignment="1" applyProtection="1">
      <alignment horizontal="left" vertical="center"/>
      <protection locked="0"/>
    </xf>
    <xf numFmtId="167" fontId="38" fillId="0" borderId="4" xfId="6" applyNumberFormat="1" applyFont="1" applyFill="1" applyBorder="1" applyAlignment="1" applyProtection="1">
      <alignment horizontal="left" vertical="center"/>
      <protection locked="0"/>
    </xf>
    <xf numFmtId="167" fontId="38" fillId="0" borderId="5" xfId="6" applyNumberFormat="1" applyFont="1" applyFill="1" applyBorder="1" applyAlignment="1" applyProtection="1">
      <alignment horizontal="left" vertical="center"/>
      <protection locked="0"/>
    </xf>
    <xf numFmtId="0" fontId="81" fillId="0" borderId="1" xfId="0"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167" fontId="111" fillId="0" borderId="1" xfId="6" applyNumberFormat="1" applyFont="1" applyFill="1" applyBorder="1" applyAlignment="1" applyProtection="1">
      <alignment horizontal="left" vertical="center"/>
      <protection locked="0"/>
    </xf>
    <xf numFmtId="0" fontId="44" fillId="0" borderId="2" xfId="0" applyFont="1" applyFill="1" applyBorder="1" applyAlignment="1" applyProtection="1">
      <alignment horizontal="left" vertical="center" wrapText="1"/>
    </xf>
    <xf numFmtId="0" fontId="44" fillId="0" borderId="2" xfId="0" applyFont="1" applyFill="1" applyBorder="1" applyAlignment="1" applyProtection="1">
      <alignment horizontal="left" vertical="center"/>
    </xf>
    <xf numFmtId="0" fontId="44" fillId="0" borderId="4" xfId="0" applyFont="1" applyFill="1" applyBorder="1" applyAlignment="1" applyProtection="1">
      <alignment horizontal="left" vertical="center"/>
    </xf>
    <xf numFmtId="0" fontId="45" fillId="0" borderId="1" xfId="0" applyFont="1" applyFill="1" applyBorder="1" applyAlignment="1" applyProtection="1">
      <alignment horizontal="center"/>
      <protection locked="0"/>
    </xf>
    <xf numFmtId="0" fontId="31" fillId="0" borderId="1" xfId="0" applyFont="1" applyFill="1" applyBorder="1" applyAlignment="1" applyProtection="1">
      <alignment horizontal="center"/>
      <protection locked="0"/>
    </xf>
    <xf numFmtId="167" fontId="38" fillId="0" borderId="1" xfId="6" applyNumberFormat="1" applyFont="1" applyFill="1" applyBorder="1" applyAlignment="1" applyProtection="1">
      <alignment horizontal="center"/>
      <protection locked="0"/>
    </xf>
    <xf numFmtId="0" fontId="45" fillId="0" borderId="3" xfId="0" applyFont="1" applyFill="1" applyBorder="1" applyAlignment="1" applyProtection="1">
      <alignment horizontal="center"/>
      <protection locked="0"/>
    </xf>
    <xf numFmtId="0" fontId="45" fillId="0" borderId="4" xfId="0" applyFont="1" applyFill="1" applyBorder="1" applyAlignment="1" applyProtection="1">
      <alignment horizontal="center"/>
      <protection locked="0"/>
    </xf>
    <xf numFmtId="0" fontId="45" fillId="0" borderId="5" xfId="0" applyFont="1" applyFill="1" applyBorder="1" applyAlignment="1" applyProtection="1">
      <alignment horizontal="center"/>
      <protection locked="0"/>
    </xf>
    <xf numFmtId="0" fontId="31" fillId="0" borderId="3"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5" xfId="0" applyFont="1" applyFill="1" applyBorder="1" applyAlignment="1" applyProtection="1">
      <alignment horizontal="center"/>
      <protection locked="0"/>
    </xf>
    <xf numFmtId="167" fontId="38" fillId="0" borderId="3" xfId="6" applyNumberFormat="1" applyFont="1" applyFill="1" applyBorder="1" applyAlignment="1" applyProtection="1">
      <alignment horizontal="center"/>
      <protection locked="0"/>
    </xf>
    <xf numFmtId="167" fontId="38" fillId="0" borderId="4" xfId="6" applyNumberFormat="1" applyFont="1" applyFill="1" applyBorder="1" applyAlignment="1" applyProtection="1">
      <alignment horizontal="center"/>
      <protection locked="0"/>
    </xf>
    <xf numFmtId="167" fontId="38" fillId="0" borderId="5" xfId="6" applyNumberFormat="1" applyFont="1" applyFill="1" applyBorder="1" applyAlignment="1" applyProtection="1">
      <alignment horizontal="center"/>
      <protection locked="0"/>
    </xf>
    <xf numFmtId="0" fontId="41" fillId="0" borderId="1" xfId="0" applyFont="1" applyFill="1" applyBorder="1" applyAlignment="1" applyProtection="1">
      <alignment horizontal="left" vertical="center"/>
      <protection locked="0"/>
    </xf>
    <xf numFmtId="0" fontId="110" fillId="0" borderId="1" xfId="0" applyFont="1" applyFill="1" applyBorder="1" applyAlignment="1" applyProtection="1">
      <alignment horizontal="left" vertical="center"/>
      <protection locked="0"/>
    </xf>
    <xf numFmtId="16" fontId="38" fillId="0" borderId="0" xfId="0" applyNumberFormat="1" applyFont="1" applyFill="1" applyBorder="1" applyAlignment="1">
      <alignment horizontal="center" wrapText="1"/>
    </xf>
    <xf numFmtId="0" fontId="77" fillId="0" borderId="0" xfId="0" applyFont="1" applyFill="1" applyBorder="1" applyAlignment="1" applyProtection="1">
      <alignment horizontal="center"/>
    </xf>
    <xf numFmtId="16" fontId="77" fillId="0" borderId="0" xfId="0" applyNumberFormat="1" applyFont="1" applyAlignment="1">
      <alignment horizontal="center" wrapText="1"/>
    </xf>
    <xf numFmtId="16" fontId="77" fillId="0" borderId="8" xfId="0" applyNumberFormat="1" applyFont="1" applyBorder="1" applyAlignment="1">
      <alignment horizontal="center" wrapText="1"/>
    </xf>
    <xf numFmtId="16" fontId="77" fillId="0" borderId="2" xfId="0" applyNumberFormat="1" applyFont="1" applyBorder="1" applyAlignment="1">
      <alignment horizontal="center" wrapText="1"/>
    </xf>
    <xf numFmtId="0" fontId="77" fillId="0" borderId="0" xfId="0" applyFont="1" applyFill="1" applyBorder="1" applyAlignment="1" applyProtection="1">
      <alignment horizontal="center" wrapText="1"/>
    </xf>
    <xf numFmtId="0" fontId="38" fillId="0" borderId="0" xfId="0" applyFont="1" applyFill="1" applyBorder="1" applyAlignment="1" applyProtection="1">
      <alignment horizontal="center"/>
    </xf>
    <xf numFmtId="0" fontId="38" fillId="0" borderId="0" xfId="0" applyFont="1" applyFill="1" applyBorder="1" applyAlignment="1">
      <alignment horizontal="center" wrapText="1"/>
    </xf>
    <xf numFmtId="0" fontId="72" fillId="9" borderId="0" xfId="0" applyFont="1" applyFill="1" applyBorder="1" applyAlignment="1" applyProtection="1">
      <alignment horizontal="center"/>
    </xf>
    <xf numFmtId="0" fontId="77" fillId="7" borderId="0" xfId="0" applyFont="1" applyFill="1" applyBorder="1" applyAlignment="1" applyProtection="1">
      <alignment horizontal="center" wrapText="1"/>
    </xf>
    <xf numFmtId="0" fontId="38" fillId="7" borderId="0" xfId="0" applyFont="1" applyFill="1" applyBorder="1" applyAlignment="1" applyProtection="1">
      <alignment horizontal="center"/>
    </xf>
    <xf numFmtId="0" fontId="20" fillId="0" borderId="0" xfId="1" applyFont="1" applyAlignment="1">
      <alignment horizontal="left"/>
    </xf>
    <xf numFmtId="0" fontId="20" fillId="0" borderId="0" xfId="1" applyFont="1" applyAlignment="1">
      <alignment horizontal="center"/>
    </xf>
    <xf numFmtId="0" fontId="38" fillId="8" borderId="0" xfId="0" applyFont="1" applyFill="1" applyBorder="1" applyAlignment="1" applyProtection="1">
      <alignment horizontal="center" wrapText="1"/>
    </xf>
    <xf numFmtId="0" fontId="38" fillId="8" borderId="8" xfId="0" applyFont="1" applyFill="1" applyBorder="1" applyAlignment="1" applyProtection="1">
      <alignment horizontal="center" wrapText="1"/>
    </xf>
    <xf numFmtId="0" fontId="114" fillId="9" borderId="0" xfId="0" applyFont="1" applyFill="1" applyBorder="1" applyAlignment="1" applyProtection="1">
      <alignment horizontal="center" wrapText="1"/>
    </xf>
    <xf numFmtId="0" fontId="38" fillId="0" borderId="0" xfId="0" applyFont="1" applyFill="1" applyAlignment="1">
      <alignment horizontal="center" wrapText="1"/>
    </xf>
    <xf numFmtId="0" fontId="38" fillId="0" borderId="8" xfId="0" applyFont="1" applyFill="1" applyBorder="1" applyAlignment="1">
      <alignment horizontal="center" wrapText="1"/>
    </xf>
    <xf numFmtId="16" fontId="38" fillId="0" borderId="0" xfId="0" applyNumberFormat="1" applyFont="1" applyFill="1" applyAlignment="1">
      <alignment horizontal="center" wrapText="1"/>
    </xf>
    <xf numFmtId="0" fontId="38" fillId="0" borderId="0" xfId="0" applyFont="1" applyFill="1" applyBorder="1" applyAlignment="1" applyProtection="1">
      <alignment horizontal="center" wrapText="1"/>
    </xf>
    <xf numFmtId="0" fontId="38" fillId="0" borderId="8" xfId="0" applyFont="1" applyFill="1" applyBorder="1" applyAlignment="1" applyProtection="1">
      <alignment horizontal="center" wrapText="1"/>
    </xf>
    <xf numFmtId="0" fontId="30" fillId="0" borderId="0" xfId="0" applyFont="1" applyFill="1" applyBorder="1" applyAlignment="1">
      <alignment horizontal="center"/>
    </xf>
    <xf numFmtId="0" fontId="69" fillId="3" borderId="0" xfId="0" applyFont="1" applyFill="1" applyBorder="1" applyAlignment="1">
      <alignment horizontal="center" vertical="center"/>
    </xf>
    <xf numFmtId="0" fontId="69" fillId="3" borderId="2" xfId="0" applyFont="1" applyFill="1" applyBorder="1" applyAlignment="1">
      <alignment horizontal="center" vertical="center"/>
    </xf>
    <xf numFmtId="0" fontId="72" fillId="3" borderId="9" xfId="0" applyFont="1" applyFill="1" applyBorder="1" applyAlignment="1">
      <alignment horizontal="center"/>
    </xf>
    <xf numFmtId="0" fontId="72" fillId="3" borderId="2" xfId="0" applyFont="1" applyFill="1" applyBorder="1" applyAlignment="1">
      <alignment horizontal="center"/>
    </xf>
    <xf numFmtId="0" fontId="69" fillId="3" borderId="9" xfId="0" applyFont="1" applyFill="1" applyBorder="1" applyAlignment="1">
      <alignment horizontal="center" vertical="center"/>
    </xf>
    <xf numFmtId="0" fontId="43" fillId="0" borderId="0" xfId="0" applyFont="1" applyAlignment="1">
      <alignment horizontal="center"/>
    </xf>
    <xf numFmtId="0" fontId="0" fillId="0" borderId="0" xfId="0" applyAlignment="1">
      <alignment horizontal="center"/>
    </xf>
    <xf numFmtId="14" fontId="102" fillId="0" borderId="0" xfId="0" applyNumberFormat="1" applyFont="1" applyBorder="1" applyAlignment="1">
      <alignment horizontal="center"/>
    </xf>
    <xf numFmtId="14" fontId="102" fillId="0" borderId="0" xfId="0" quotePrefix="1" applyNumberFormat="1" applyFont="1" applyBorder="1" applyAlignment="1">
      <alignment horizontal="center"/>
    </xf>
  </cellXfs>
  <cellStyles count="9">
    <cellStyle name="Comma" xfId="7" builtinId="3"/>
    <cellStyle name="Currency" xfId="6" builtinId="4"/>
    <cellStyle name="Currency 2" xfId="3"/>
    <cellStyle name="Currency 3" xfId="4"/>
    <cellStyle name="Normal" xfId="0" builtinId="0"/>
    <cellStyle name="Normal 2" xfId="1"/>
    <cellStyle name="Normal 3" xfId="5"/>
    <cellStyle name="Percent" xfId="8" builtinId="5"/>
    <cellStyle name="Percent 2" xfId="2"/>
  </cellStyles>
  <dxfs count="14">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colors>
    <mruColors>
      <color rgb="FF56A12D"/>
      <color rgb="FF1F1448"/>
      <color rgb="FF122B4A"/>
      <color rgb="FFF0AED5"/>
      <color rgb="FFFF99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theme" Target="theme/theme1.xml"/><Relationship Id="rId30" Type="http://schemas.openxmlformats.org/officeDocument/2006/relationships/styles" Target="styles.xml"/><Relationship Id="rId31" Type="http://schemas.openxmlformats.org/officeDocument/2006/relationships/sharedStrings" Target="sharedStrings.xml"/><Relationship Id="rId32"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2"/>
  <c:chart>
    <c:plotArea>
      <c:layout/>
      <c:barChart>
        <c:barDir val="col"/>
        <c:grouping val="clustered"/>
        <c:ser>
          <c:idx val="0"/>
          <c:order val="0"/>
          <c:spPr>
            <a:solidFill>
              <a:srgbClr val="56A12D"/>
            </a:solidFill>
          </c:spPr>
          <c:dLbls>
            <c:dLbl>
              <c:idx val="0"/>
              <c:showVal val="1"/>
            </c:dLbl>
            <c:dLbl>
              <c:idx val="1"/>
              <c:showVal val="1"/>
            </c:dLbl>
            <c:dLbl>
              <c:idx val="2"/>
              <c:showVal val="1"/>
            </c:dLbl>
            <c:dLbl>
              <c:idx val="3"/>
              <c:showVal val="1"/>
            </c:dLbl>
            <c:delete val="1"/>
          </c:dLbls>
          <c:cat>
            <c:strRef>
              <c:f>('Production Indicators'!$X$38,'Production Indicators'!$X$40,'Production Indicators'!$X$42,'Production Indicators'!$X$44)</c:f>
              <c:strCache>
                <c:ptCount val="4"/>
                <c:pt idx="0">
                  <c:v>1-21</c:v>
                </c:pt>
                <c:pt idx="1">
                  <c:v>22-43</c:v>
                </c:pt>
                <c:pt idx="2">
                  <c:v>44-65</c:v>
                </c:pt>
                <c:pt idx="3">
                  <c:v>+65</c:v>
                </c:pt>
              </c:strCache>
            </c:strRef>
          </c:cat>
          <c:val>
            <c:numRef>
              <c:f>('Production Indicators'!$Y$38,'Production Indicators'!$Y$40,'Production Indicators'!$Y$42,'Production Indicators'!$Y$44)</c:f>
              <c:numCache>
                <c:formatCode>0%</c:formatCode>
                <c:ptCount val="4"/>
                <c:pt idx="0">
                  <c:v>0.0</c:v>
                </c:pt>
                <c:pt idx="1">
                  <c:v>0.0</c:v>
                </c:pt>
                <c:pt idx="2">
                  <c:v>0.0</c:v>
                </c:pt>
                <c:pt idx="3">
                  <c:v>0.0</c:v>
                </c:pt>
              </c:numCache>
            </c:numRef>
          </c:val>
        </c:ser>
        <c:gapWidth val="50"/>
        <c:axId val="473288280"/>
        <c:axId val="473290488"/>
      </c:barChart>
      <c:catAx>
        <c:axId val="473288280"/>
        <c:scaling>
          <c:orientation val="minMax"/>
        </c:scaling>
        <c:axPos val="b"/>
        <c:tickLblPos val="nextTo"/>
        <c:txPr>
          <a:bodyPr/>
          <a:lstStyle/>
          <a:p>
            <a:pPr>
              <a:defRPr sz="1100"/>
            </a:pPr>
            <a:endParaRPr lang="en-US"/>
          </a:p>
        </c:txPr>
        <c:crossAx val="473290488"/>
        <c:crosses val="autoZero"/>
        <c:auto val="1"/>
        <c:lblAlgn val="ctr"/>
        <c:lblOffset val="100"/>
      </c:catAx>
      <c:valAx>
        <c:axId val="473290488"/>
        <c:scaling>
          <c:orientation val="minMax"/>
        </c:scaling>
        <c:axPos val="l"/>
        <c:numFmt formatCode="0%" sourceLinked="1"/>
        <c:tickLblPos val="nextTo"/>
        <c:crossAx val="473288280"/>
        <c:crosses val="autoZero"/>
        <c:crossBetween val="between"/>
      </c:valAx>
    </c:plotArea>
    <c:plotVisOnly val="1"/>
  </c:chart>
  <c:printSettings>
    <c:headerFooter/>
    <c:pageMargins b="0.750000000000001" l="0.700000000000001" r="0.700000000000001" t="0.750000000000001"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95250</xdr:colOff>
      <xdr:row>7</xdr:row>
      <xdr:rowOff>161923</xdr:rowOff>
    </xdr:from>
    <xdr:to>
      <xdr:col>10</xdr:col>
      <xdr:colOff>476250</xdr:colOff>
      <xdr:row>58</xdr:row>
      <xdr:rowOff>161924</xdr:rowOff>
    </xdr:to>
    <xdr:sp macro="" textlink="">
      <xdr:nvSpPr>
        <xdr:cNvPr id="6" name="TextBox 5"/>
        <xdr:cNvSpPr txBox="1"/>
      </xdr:nvSpPr>
      <xdr:spPr>
        <a:xfrm>
          <a:off x="95250" y="1495423"/>
          <a:ext cx="6477000" cy="9715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a:solidFill>
                <a:schemeClr val="tx1">
                  <a:lumMod val="65000"/>
                  <a:lumOff val="35000"/>
                </a:schemeClr>
              </a:solidFill>
              <a:latin typeface="Verdana" pitchFamily="34" charset="0"/>
              <a:ea typeface="Verdana" pitchFamily="34" charset="0"/>
              <a:cs typeface="Verdana" pitchFamily="34" charset="0"/>
            </a:rPr>
            <a:t>The Western Beef Development Centre has been assisting Saskatchewan cow-calf producers with cost of production analysis since 2001.  </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chemeClr val="tx1">
                  <a:lumMod val="65000"/>
                  <a:lumOff val="35000"/>
                </a:schemeClr>
              </a:solidFill>
              <a:latin typeface="Verdana" pitchFamily="34" charset="0"/>
              <a:ea typeface="Verdana" pitchFamily="34" charset="0"/>
              <a:cs typeface="Verdana" pitchFamily="34" charset="0"/>
            </a:rPr>
            <a:t>This Excel tool was developed in 2014 by WBDC Economist Kathy Larson to help producers calculate their cost of production at home. Prior to 2014, producers filled in data forms or had farm visits where they would provide their production and financial data to the WBDC Economist who would enter all the data into a software program called CowProfit$. Analysis would be provided back to the producer. The shift to an at-home tool is to allow producers to work on their COP throughout the year and at their own pace. Additionally, by entering the numbers themselves they can gain a better understanding of how the production and financial data is used to calculate cost of production.</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chemeClr val="tx1">
                  <a:lumMod val="65000"/>
                  <a:lumOff val="35000"/>
                </a:schemeClr>
              </a:solidFill>
              <a:latin typeface="Verdana" pitchFamily="34" charset="0"/>
              <a:ea typeface="Verdana" pitchFamily="34" charset="0"/>
              <a:cs typeface="Verdana" pitchFamily="34" charset="0"/>
            </a:rPr>
            <a:t>It is best to start at the About My Ranch tab and work right through the tabs (1 through 12) to fill in the remaining data required for whole-ranch COP analysis. In the "About My Ranch" tab, the business lines (or enterprises) on the operation are identified. Tabs 1 through 8 are enterprise-specific and only need to have data entered if you have the enterprise on your ranch and want to complete cost of production analysis for it.</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chemeClr val="tx1">
                  <a:lumMod val="65000"/>
                  <a:lumOff val="35000"/>
                </a:schemeClr>
              </a:solidFill>
              <a:latin typeface="Verdana" pitchFamily="34" charset="0"/>
              <a:ea typeface="Verdana" pitchFamily="34" charset="0"/>
              <a:cs typeface="Verdana" pitchFamily="34" charset="0"/>
            </a:rPr>
            <a:t>When it comes to shared expenses (10. Expenses) - they will need to be allocated across the enterprises that are responsible for that expense accruing. In this tool, allocations should add up to 100% for each expense. To make allocation easier, it can be helpful to report more detail or split the expense category into multiple lines. For example, for your fuel expense you can enter your diesel, gas and oil &amp; filters on three separate lines. If your financial records do not have that much detail and fuel expenses are all lumped together, that is fine as well. Just remember to allocate shared expenses across all of your enterprises that contribute to that expense. Providing more detail is also useful in the machinery repairs category (break out into baler repairs, truck repairs, tractor repairs, etc) and custom work expense category (break out into manure cleaning, custom haying, custom seeding, etc).</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chemeClr val="tx1">
                  <a:lumMod val="65000"/>
                  <a:lumOff val="35000"/>
                </a:schemeClr>
              </a:solidFill>
              <a:latin typeface="Verdana" pitchFamily="34" charset="0"/>
              <a:ea typeface="Verdana" pitchFamily="34" charset="0"/>
              <a:cs typeface="Verdana" pitchFamily="34" charset="0"/>
            </a:rPr>
            <a:t>When it comes to tracking pasture and winter feed, you will be asked to provide dates that cows were turned out to pasture  and when winter feeding started (prior to calving start). </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chemeClr val="tx1">
                  <a:lumMod val="65000"/>
                  <a:lumOff val="35000"/>
                </a:schemeClr>
              </a:solidFill>
              <a:latin typeface="Verdana" pitchFamily="34" charset="0"/>
              <a:ea typeface="Verdana" pitchFamily="34" charset="0"/>
              <a:cs typeface="Verdana" pitchFamily="34" charset="0"/>
            </a:rPr>
            <a:t>Everyone seems to track winter feed differently. Perhaps you know the number of bales that you fed or maybe you know what was fed on a daily basis (i.e. 1 ba hay, 600 lb oats, 1100 lb silage, 35 lb/hd/day, etc.). Whatever method  you use is fine, just be sure to include details and prices (use market values for any homegrown feed) so a winter feed cost can be estimated. </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chemeClr val="tx1">
                  <a:lumMod val="65000"/>
                  <a:lumOff val="35000"/>
                </a:schemeClr>
              </a:solidFill>
              <a:latin typeface="Verdana" pitchFamily="34" charset="0"/>
              <a:ea typeface="Verdana" pitchFamily="34" charset="0"/>
              <a:cs typeface="Verdana" pitchFamily="34" charset="0"/>
            </a:rPr>
            <a:t>There are coloured tabs which contain the COP Summary for each of your enterprises - they contain a number of formulas and linked cells, they have been "locked" to prevent accidental changes. The COP Summaries will only show accurate/complete results once all of the required data in Tabs 1 through 12 has been entered.</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chemeClr val="tx1">
                  <a:lumMod val="65000"/>
                  <a:lumOff val="35000"/>
                </a:schemeClr>
              </a:solidFill>
              <a:latin typeface="Verdana" pitchFamily="34" charset="0"/>
              <a:ea typeface="Verdana" pitchFamily="34" charset="0"/>
              <a:cs typeface="Verdana" pitchFamily="34" charset="0"/>
            </a:rPr>
            <a:t>If you are having trouble with this Excel tool, do not hesitate to contact me.</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rgbClr val="FF0000"/>
              </a:solidFill>
              <a:latin typeface="Verdana" pitchFamily="34" charset="0"/>
              <a:ea typeface="Verdana" pitchFamily="34" charset="0"/>
              <a:cs typeface="Verdana" pitchFamily="34" charset="0"/>
            </a:rPr>
            <a:t>If you have suggestions on how to improve this tool, please send them my way as well!</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chemeClr val="tx1">
                  <a:lumMod val="65000"/>
                  <a:lumOff val="35000"/>
                </a:schemeClr>
              </a:solidFill>
              <a:latin typeface="Verdana" pitchFamily="34" charset="0"/>
              <a:ea typeface="Verdana" pitchFamily="34" charset="0"/>
              <a:cs typeface="Verdana" pitchFamily="34" charset="0"/>
            </a:rPr>
            <a:t>Good luck!</a:t>
          </a:r>
        </a:p>
        <a:p>
          <a:endParaRPr lang="en-US" sz="1100" baseline="0">
            <a:solidFill>
              <a:schemeClr val="tx1">
                <a:lumMod val="65000"/>
                <a:lumOff val="35000"/>
              </a:schemeClr>
            </a:solidFill>
            <a:latin typeface="Verdana" pitchFamily="34" charset="0"/>
            <a:ea typeface="Verdana" pitchFamily="34" charset="0"/>
            <a:cs typeface="Verdana" pitchFamily="34" charset="0"/>
          </a:endParaRPr>
        </a:p>
        <a:p>
          <a:r>
            <a:rPr lang="en-US" sz="1100" baseline="0">
              <a:solidFill>
                <a:schemeClr val="tx1">
                  <a:lumMod val="65000"/>
                  <a:lumOff val="35000"/>
                </a:schemeClr>
              </a:solidFill>
              <a:latin typeface="Verdana" pitchFamily="34" charset="0"/>
              <a:ea typeface="Verdana" pitchFamily="34" charset="0"/>
              <a:cs typeface="Verdana" pitchFamily="34" charset="0"/>
            </a:rPr>
            <a:t>Kathy Larson</a:t>
          </a:r>
        </a:p>
        <a:p>
          <a:r>
            <a:rPr lang="en-US" sz="1100" baseline="0">
              <a:solidFill>
                <a:schemeClr val="tx1">
                  <a:lumMod val="65000"/>
                  <a:lumOff val="35000"/>
                </a:schemeClr>
              </a:solidFill>
              <a:latin typeface="Verdana" pitchFamily="34" charset="0"/>
              <a:ea typeface="Verdana" pitchFamily="34" charset="0"/>
              <a:cs typeface="Verdana" pitchFamily="34" charset="0"/>
            </a:rPr>
            <a:t>WBDC Economist</a:t>
          </a:r>
        </a:p>
        <a:p>
          <a:r>
            <a:rPr lang="en-US" sz="1100" baseline="0">
              <a:solidFill>
                <a:schemeClr val="tx1">
                  <a:lumMod val="65000"/>
                  <a:lumOff val="35000"/>
                </a:schemeClr>
              </a:solidFill>
              <a:latin typeface="Verdana" pitchFamily="34" charset="0"/>
              <a:ea typeface="Verdana" pitchFamily="34" charset="0"/>
              <a:cs typeface="Verdana" pitchFamily="34" charset="0"/>
            </a:rPr>
            <a:t>Phone: 306-764-3929  Mobile: 306-930-9354  Fax: 306-763-3981  </a:t>
          </a:r>
        </a:p>
        <a:p>
          <a:r>
            <a:rPr lang="en-US" sz="1100" baseline="0">
              <a:solidFill>
                <a:schemeClr val="tx1">
                  <a:lumMod val="65000"/>
                  <a:lumOff val="35000"/>
                </a:schemeClr>
              </a:solidFill>
              <a:latin typeface="Verdana" pitchFamily="34" charset="0"/>
              <a:ea typeface="Verdana" pitchFamily="34" charset="0"/>
              <a:cs typeface="Verdana" pitchFamily="34" charset="0"/>
            </a:rPr>
            <a:t>Email: klarson.wbdc@pami.ca</a:t>
          </a:r>
        </a:p>
        <a:p>
          <a:r>
            <a:rPr lang="en-US" sz="1100" baseline="0"/>
            <a:t> </a:t>
          </a:r>
          <a:endParaRPr lang="en-US" sz="1100"/>
        </a:p>
      </xdr:txBody>
    </xdr:sp>
    <xdr:clientData/>
  </xdr:twoCellAnchor>
  <xdr:twoCellAnchor editAs="oneCell">
    <xdr:from>
      <xdr:col>0</xdr:col>
      <xdr:colOff>85726</xdr:colOff>
      <xdr:row>0</xdr:row>
      <xdr:rowOff>0</xdr:rowOff>
    </xdr:from>
    <xdr:to>
      <xdr:col>6</xdr:col>
      <xdr:colOff>276226</xdr:colOff>
      <xdr:row>6</xdr:row>
      <xdr:rowOff>156421</xdr:rowOff>
    </xdr:to>
    <xdr:pic>
      <xdr:nvPicPr>
        <xdr:cNvPr id="8" name="Picture 7" descr="WESTERNBEEF_logo_RGB.png"/>
        <xdr:cNvPicPr>
          <a:picLocks noChangeAspect="1"/>
        </xdr:cNvPicPr>
      </xdr:nvPicPr>
      <xdr:blipFill>
        <a:blip xmlns:r="http://schemas.openxmlformats.org/officeDocument/2006/relationships" r:embed="rId1" cstate="print"/>
        <a:stretch>
          <a:fillRect/>
        </a:stretch>
      </xdr:blipFill>
      <xdr:spPr>
        <a:xfrm>
          <a:off x="85726" y="0"/>
          <a:ext cx="3848100" cy="1299421"/>
        </a:xfrm>
        <a:prstGeom prst="rect">
          <a:avLst/>
        </a:prstGeom>
      </xdr:spPr>
    </xdr:pic>
    <xdr:clientData/>
  </xdr:twoCellAnchor>
  <xdr:twoCellAnchor>
    <xdr:from>
      <xdr:col>0</xdr:col>
      <xdr:colOff>152400</xdr:colOff>
      <xdr:row>58</xdr:row>
      <xdr:rowOff>161925</xdr:rowOff>
    </xdr:from>
    <xdr:to>
      <xdr:col>10</xdr:col>
      <xdr:colOff>314325</xdr:colOff>
      <xdr:row>65</xdr:row>
      <xdr:rowOff>104775</xdr:rowOff>
    </xdr:to>
    <xdr:sp macro="" textlink="">
      <xdr:nvSpPr>
        <xdr:cNvPr id="4" name="TextBox 3"/>
        <xdr:cNvSpPr txBox="1"/>
      </xdr:nvSpPr>
      <xdr:spPr>
        <a:xfrm>
          <a:off x="152400" y="11210925"/>
          <a:ext cx="6257925"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600" i="1">
              <a:solidFill>
                <a:srgbClr val="56A12D"/>
              </a:solidFill>
            </a:rPr>
            <a:t>Western Beef would like to thank</a:t>
          </a:r>
          <a:r>
            <a:rPr lang="en-US" sz="1600" i="1" baseline="0">
              <a:solidFill>
                <a:srgbClr val="56A12D"/>
              </a:solidFill>
            </a:rPr>
            <a:t> the Saskatchewan Ministry of Agriculture </a:t>
          </a:r>
        </a:p>
        <a:p>
          <a:pPr algn="ctr"/>
          <a:r>
            <a:rPr lang="en-US" sz="1600" i="1" baseline="0">
              <a:solidFill>
                <a:srgbClr val="56A12D"/>
              </a:solidFill>
            </a:rPr>
            <a:t>and the Canada-Saskatchewan Growing Forward bi-lateral agreement </a:t>
          </a:r>
        </a:p>
        <a:p>
          <a:pPr algn="ctr"/>
          <a:r>
            <a:rPr lang="en-US" sz="1600" i="1" baseline="0">
              <a:solidFill>
                <a:srgbClr val="56A12D"/>
              </a:solidFill>
            </a:rPr>
            <a:t>for their financial support for this initiative through the </a:t>
          </a:r>
        </a:p>
        <a:p>
          <a:pPr algn="ctr"/>
          <a:r>
            <a:rPr lang="en-US" sz="1600" i="1" baseline="0">
              <a:solidFill>
                <a:srgbClr val="56A12D"/>
              </a:solidFill>
            </a:rPr>
            <a:t>Agriculture Development Fund.</a:t>
          </a:r>
          <a:endParaRPr lang="en-US" sz="1600" i="1">
            <a:solidFill>
              <a:srgbClr val="56A12D"/>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777875</xdr:colOff>
      <xdr:row>0</xdr:row>
      <xdr:rowOff>183161</xdr:rowOff>
    </xdr:from>
    <xdr:to>
      <xdr:col>17</xdr:col>
      <xdr:colOff>477837</xdr:colOff>
      <xdr:row>0</xdr:row>
      <xdr:rowOff>876300</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7731125" y="183161"/>
          <a:ext cx="1840442" cy="693139"/>
        </a:xfrm>
        <a:prstGeom prst="rect">
          <a:avLst/>
        </a:prstGeom>
      </xdr:spPr>
    </xdr:pic>
    <xdr:clientData/>
  </xdr:twoCellAnchor>
  <xdr:twoCellAnchor>
    <xdr:from>
      <xdr:col>1</xdr:col>
      <xdr:colOff>792440</xdr:colOff>
      <xdr:row>30</xdr:row>
      <xdr:rowOff>20627</xdr:rowOff>
    </xdr:from>
    <xdr:to>
      <xdr:col>19</xdr:col>
      <xdr:colOff>237608</xdr:colOff>
      <xdr:row>32</xdr:row>
      <xdr:rowOff>103178</xdr:rowOff>
    </xdr:to>
    <xdr:sp macro="" textlink="">
      <xdr:nvSpPr>
        <xdr:cNvPr id="4" name="TextBox 3"/>
        <xdr:cNvSpPr txBox="1"/>
      </xdr:nvSpPr>
      <xdr:spPr>
        <a:xfrm>
          <a:off x="1137721" y="7045315"/>
          <a:ext cx="9410700" cy="439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YOU HAVE NOW ENTERED ALL THE</a:t>
          </a:r>
          <a:r>
            <a:rPr lang="en-US" sz="1800" b="1" baseline="0">
              <a:solidFill>
                <a:srgbClr val="56A12D"/>
              </a:solidFill>
            </a:rPr>
            <a:t> PRODUCTION DETAILS FOR THE FORAGE ENTERPRISE!</a:t>
          </a:r>
          <a:endParaRPr lang="en-US" sz="1600" b="1">
            <a:solidFill>
              <a:srgbClr val="122B4A"/>
            </a:solidFill>
          </a:endParaRPr>
        </a:p>
      </xdr:txBody>
    </xdr:sp>
    <xdr:clientData/>
  </xdr:twoCellAnchor>
  <xdr:twoCellAnchor>
    <xdr:from>
      <xdr:col>0</xdr:col>
      <xdr:colOff>323849</xdr:colOff>
      <xdr:row>2</xdr:row>
      <xdr:rowOff>76200</xdr:rowOff>
    </xdr:from>
    <xdr:to>
      <xdr:col>19</xdr:col>
      <xdr:colOff>785812</xdr:colOff>
      <xdr:row>3</xdr:row>
      <xdr:rowOff>288928</xdr:rowOff>
    </xdr:to>
    <xdr:sp macro="" textlink="">
      <xdr:nvSpPr>
        <xdr:cNvPr id="5" name="TextBox 4"/>
        <xdr:cNvSpPr txBox="1"/>
      </xdr:nvSpPr>
      <xdr:spPr>
        <a:xfrm>
          <a:off x="323849" y="1385888"/>
          <a:ext cx="10772776" cy="3794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the acreage,</a:t>
          </a:r>
          <a:r>
            <a:rPr lang="en-US" sz="1600" b="1" baseline="0">
              <a:solidFill>
                <a:srgbClr val="122B4A"/>
              </a:solidFill>
            </a:rPr>
            <a:t> yield, market value and off-farm sales details for your forage &amp; straw production</a:t>
          </a:r>
          <a:endParaRPr lang="en-US" sz="1600" b="1">
            <a:solidFill>
              <a:srgbClr val="122B4A"/>
            </a:solidFill>
          </a:endParaRPr>
        </a:p>
      </xdr:txBody>
    </xdr:sp>
    <xdr:clientData/>
  </xdr:twoCellAnchor>
  <xdr:twoCellAnchor>
    <xdr:from>
      <xdr:col>1</xdr:col>
      <xdr:colOff>11906</xdr:colOff>
      <xdr:row>19</xdr:row>
      <xdr:rowOff>1</xdr:rowOff>
    </xdr:from>
    <xdr:to>
      <xdr:col>20</xdr:col>
      <xdr:colOff>95250</xdr:colOff>
      <xdr:row>28</xdr:row>
      <xdr:rowOff>95250</xdr:rowOff>
    </xdr:to>
    <xdr:sp macro="" textlink="">
      <xdr:nvSpPr>
        <xdr:cNvPr id="6" name="TextBox 5"/>
        <xdr:cNvSpPr txBox="1"/>
      </xdr:nvSpPr>
      <xdr:spPr>
        <a:xfrm>
          <a:off x="357187" y="5095876"/>
          <a:ext cx="11037094" cy="1690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rgbClr val="FF0000"/>
              </a:solidFill>
            </a:rPr>
            <a:t>HELPFUL HINT</a:t>
          </a:r>
        </a:p>
        <a:p>
          <a:endParaRPr lang="en-US" sz="1100" b="1">
            <a:solidFill>
              <a:srgbClr val="FF0000"/>
            </a:solidFill>
          </a:endParaRPr>
        </a:p>
        <a:p>
          <a:r>
            <a:rPr lang="en-US" sz="1100">
              <a:solidFill>
                <a:schemeClr val="tx1">
                  <a:lumMod val="75000"/>
                  <a:lumOff val="25000"/>
                </a:schemeClr>
              </a:solidFill>
            </a:rPr>
            <a:t>Typically, the majority</a:t>
          </a:r>
          <a:r>
            <a:rPr lang="en-US" sz="1100" baseline="0">
              <a:solidFill>
                <a:schemeClr val="tx1">
                  <a:lumMod val="75000"/>
                  <a:lumOff val="25000"/>
                </a:schemeClr>
              </a:solidFill>
            </a:rPr>
            <a:t> of a cow-calf producer's hay production is to be fed on-farm to their own cattle. We "sell" the hay to our livestock enterprises.  Charging your cows, replacement heifers and grassers market value to eat the hay from your forage lands generates "non-cash" revenue for your forage land.  The consumption (amount and market value) of stored forage is entered under the Cow-Calf, Replacement Heifer, Backgrounder and Finisher input forms when providing feeding detail. Those feeding details are used to calculate the "non-cash" revenue earned to your forage enterprise and therefore do not need to be entered again in this input form.</a:t>
          </a:r>
        </a:p>
        <a:p>
          <a:endParaRPr lang="en-US" sz="1100" baseline="0">
            <a:solidFill>
              <a:schemeClr val="tx1">
                <a:lumMod val="75000"/>
                <a:lumOff val="25000"/>
              </a:schemeClr>
            </a:solidFill>
          </a:endParaRPr>
        </a:p>
        <a:p>
          <a:r>
            <a:rPr lang="en-US" sz="1100" baseline="0">
              <a:solidFill>
                <a:schemeClr val="tx1">
                  <a:lumMod val="75000"/>
                  <a:lumOff val="25000"/>
                </a:schemeClr>
              </a:solidFill>
            </a:rPr>
            <a:t>You do, however, need to enter any cash revenue earned for your forage enterprise as a result of selling hay off the operation. That information is entered in the table above in the 3 right-most columns of the data entry table.</a:t>
          </a:r>
          <a:endParaRPr lang="en-US" sz="1100">
            <a:solidFill>
              <a:schemeClr val="tx1">
                <a:lumMod val="75000"/>
                <a:lumOff val="2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142875</xdr:colOff>
      <xdr:row>0</xdr:row>
      <xdr:rowOff>95250</xdr:rowOff>
    </xdr:from>
    <xdr:to>
      <xdr:col>19</xdr:col>
      <xdr:colOff>375855</xdr:colOff>
      <xdr:row>1</xdr:row>
      <xdr:rowOff>112082</xdr:rowOff>
    </xdr:to>
    <xdr:pic>
      <xdr:nvPicPr>
        <xdr:cNvPr id="3" name="Picture 2" descr="WESTERNBEEF_logo_RGB_sml.png"/>
        <xdr:cNvPicPr>
          <a:picLocks noChangeAspect="1"/>
        </xdr:cNvPicPr>
      </xdr:nvPicPr>
      <xdr:blipFill>
        <a:blip xmlns:r="http://schemas.openxmlformats.org/officeDocument/2006/relationships" r:embed="rId1" cstate="print"/>
        <a:stretch>
          <a:fillRect/>
        </a:stretch>
      </xdr:blipFill>
      <xdr:spPr>
        <a:xfrm>
          <a:off x="8543925" y="95250"/>
          <a:ext cx="2195130" cy="750257"/>
        </a:xfrm>
        <a:prstGeom prst="rect">
          <a:avLst/>
        </a:prstGeom>
      </xdr:spPr>
    </xdr:pic>
    <xdr:clientData/>
  </xdr:twoCellAnchor>
  <xdr:twoCellAnchor>
    <xdr:from>
      <xdr:col>0</xdr:col>
      <xdr:colOff>304800</xdr:colOff>
      <xdr:row>4</xdr:row>
      <xdr:rowOff>485775</xdr:rowOff>
    </xdr:from>
    <xdr:to>
      <xdr:col>15</xdr:col>
      <xdr:colOff>630773</xdr:colOff>
      <xdr:row>7</xdr:row>
      <xdr:rowOff>0</xdr:rowOff>
    </xdr:to>
    <xdr:sp macro="" textlink="">
      <xdr:nvSpPr>
        <xdr:cNvPr id="4" name="TextBox 3"/>
        <xdr:cNvSpPr txBox="1"/>
      </xdr:nvSpPr>
      <xdr:spPr>
        <a:xfrm>
          <a:off x="304800" y="2305050"/>
          <a:ext cx="8717498"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your</a:t>
          </a:r>
          <a:r>
            <a:rPr lang="en-US" sz="1600" b="1" baseline="0">
              <a:solidFill>
                <a:srgbClr val="122B4A"/>
              </a:solidFill>
            </a:rPr>
            <a:t> annual cropping production details</a:t>
          </a:r>
          <a:endParaRPr lang="en-US" sz="1600" b="1">
            <a:solidFill>
              <a:srgbClr val="122B4A"/>
            </a:solidFill>
          </a:endParaRPr>
        </a:p>
      </xdr:txBody>
    </xdr:sp>
    <xdr:clientData/>
  </xdr:twoCellAnchor>
  <xdr:twoCellAnchor>
    <xdr:from>
      <xdr:col>1</xdr:col>
      <xdr:colOff>1038226</xdr:colOff>
      <xdr:row>22</xdr:row>
      <xdr:rowOff>142875</xdr:rowOff>
    </xdr:from>
    <xdr:to>
      <xdr:col>17</xdr:col>
      <xdr:colOff>762001</xdr:colOff>
      <xdr:row>23</xdr:row>
      <xdr:rowOff>323850</xdr:rowOff>
    </xdr:to>
    <xdr:sp macro="" textlink="">
      <xdr:nvSpPr>
        <xdr:cNvPr id="8" name="TextBox 7"/>
        <xdr:cNvSpPr txBox="1"/>
      </xdr:nvSpPr>
      <xdr:spPr>
        <a:xfrm>
          <a:off x="1371601" y="6257925"/>
          <a:ext cx="880110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YOU HAVE NOW ENTERED ALL THE</a:t>
          </a:r>
          <a:r>
            <a:rPr lang="en-US" sz="1800" b="1" baseline="0">
              <a:solidFill>
                <a:srgbClr val="56A12D"/>
              </a:solidFill>
            </a:rPr>
            <a:t> PRODUCTION DETAILS FOR THE GRAIN ENTERPRISE!</a:t>
          </a:r>
          <a:endParaRPr lang="en-US" sz="1600" b="1">
            <a:solidFill>
              <a:srgbClr val="122B4A"/>
            </a:solidFill>
          </a:endParaRPr>
        </a:p>
      </xdr:txBody>
    </xdr:sp>
    <xdr:clientData/>
  </xdr:twoCellAnchor>
  <xdr:twoCellAnchor>
    <xdr:from>
      <xdr:col>1</xdr:col>
      <xdr:colOff>38100</xdr:colOff>
      <xdr:row>2</xdr:row>
      <xdr:rowOff>0</xdr:rowOff>
    </xdr:from>
    <xdr:to>
      <xdr:col>17</xdr:col>
      <xdr:colOff>790574</xdr:colOff>
      <xdr:row>4</xdr:row>
      <xdr:rowOff>390525</xdr:rowOff>
    </xdr:to>
    <xdr:sp macro="" textlink="">
      <xdr:nvSpPr>
        <xdr:cNvPr id="11" name="TextBox 10"/>
        <xdr:cNvSpPr txBox="1"/>
      </xdr:nvSpPr>
      <xdr:spPr>
        <a:xfrm>
          <a:off x="371475" y="1362075"/>
          <a:ext cx="9782174" cy="847725"/>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a:solidFill>
                <a:srgbClr val="122B4A"/>
              </a:solidFill>
            </a:rPr>
            <a:t>Helpful</a:t>
          </a:r>
          <a:r>
            <a:rPr lang="en-US" sz="1200" b="1" i="0" baseline="0">
              <a:solidFill>
                <a:srgbClr val="122B4A"/>
              </a:solidFill>
            </a:rPr>
            <a:t> Hints</a:t>
          </a:r>
          <a:endParaRPr lang="en-US" sz="1200" b="1" i="0">
            <a:solidFill>
              <a:srgbClr val="122B4A"/>
            </a:solidFill>
          </a:endParaRPr>
        </a:p>
        <a:p>
          <a:endParaRPr lang="en-US" sz="1050" i="1">
            <a:solidFill>
              <a:schemeClr val="bg1">
                <a:lumMod val="50000"/>
              </a:schemeClr>
            </a:solidFill>
          </a:endParaRPr>
        </a:p>
        <a:p>
          <a:r>
            <a:rPr lang="en-US" sz="1100" i="1">
              <a:solidFill>
                <a:schemeClr val="bg1">
                  <a:lumMod val="50000"/>
                </a:schemeClr>
              </a:solidFill>
              <a:latin typeface="+mn-lt"/>
              <a:ea typeface="+mn-ea"/>
              <a:cs typeface="+mn-cs"/>
            </a:rPr>
            <a:t>This Excel tool is primarily for cow-calf producers</a:t>
          </a:r>
          <a:r>
            <a:rPr lang="en-US" sz="1100" i="1" baseline="0">
              <a:solidFill>
                <a:schemeClr val="bg1">
                  <a:lumMod val="50000"/>
                </a:schemeClr>
              </a:solidFill>
              <a:latin typeface="+mn-lt"/>
              <a:ea typeface="+mn-ea"/>
              <a:cs typeface="+mn-cs"/>
            </a:rPr>
            <a:t> to look at their livestock enterprises and land-based enterprises (hay and grazing). If you also grain farm, there is some opportunity to enter your grain production information.</a:t>
          </a:r>
          <a:endParaRPr lang="en-US" sz="1100" i="1">
            <a:solidFill>
              <a:schemeClr val="bg1">
                <a:lumMod val="50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228599</xdr:colOff>
      <xdr:row>1</xdr:row>
      <xdr:rowOff>19050</xdr:rowOff>
    </xdr:from>
    <xdr:to>
      <xdr:col>7</xdr:col>
      <xdr:colOff>200024</xdr:colOff>
      <xdr:row>5</xdr:row>
      <xdr:rowOff>76200</xdr:rowOff>
    </xdr:to>
    <xdr:sp macro="" textlink="">
      <xdr:nvSpPr>
        <xdr:cNvPr id="2" name="TextBox 1"/>
        <xdr:cNvSpPr txBox="1"/>
      </xdr:nvSpPr>
      <xdr:spPr>
        <a:xfrm>
          <a:off x="228599" y="381000"/>
          <a:ext cx="663892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i="1">
              <a:solidFill>
                <a:srgbClr val="122B4A"/>
              </a:solidFill>
            </a:rPr>
            <a:t>HELPFUL INFORMATION</a:t>
          </a:r>
        </a:p>
        <a:p>
          <a:r>
            <a:rPr lang="en-US" sz="1100" i="1">
              <a:solidFill>
                <a:schemeClr val="tx1">
                  <a:lumMod val="65000"/>
                  <a:lumOff val="35000"/>
                </a:schemeClr>
              </a:solidFill>
            </a:rPr>
            <a:t>Some operations earn</a:t>
          </a:r>
          <a:r>
            <a:rPr lang="en-US" sz="1100" i="1" baseline="0">
              <a:solidFill>
                <a:schemeClr val="tx1">
                  <a:lumMod val="65000"/>
                  <a:lumOff val="35000"/>
                </a:schemeClr>
              </a:solidFill>
            </a:rPr>
            <a:t> revenues that are  beyond the typical agriculture revenues - custom work, Government support payments, rebates, oil/gas revenues. </a:t>
          </a:r>
        </a:p>
        <a:p>
          <a:endParaRPr lang="en-US" sz="1100" i="1" baseline="0">
            <a:solidFill>
              <a:schemeClr val="tx1">
                <a:lumMod val="65000"/>
                <a:lumOff val="35000"/>
              </a:schemeClr>
            </a:solidFill>
          </a:endParaRPr>
        </a:p>
        <a:p>
          <a:r>
            <a:rPr lang="en-US" sz="1100" i="1" baseline="0">
              <a:solidFill>
                <a:schemeClr val="tx1">
                  <a:lumMod val="65000"/>
                  <a:lumOff val="35000"/>
                </a:schemeClr>
              </a:solidFill>
            </a:rPr>
            <a:t>These revenues will show up in the Winners &amp; Losers Report and the Whole Farm Report.</a:t>
          </a:r>
          <a:endParaRPr lang="en-US" sz="1100" i="1">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514350</xdr:colOff>
      <xdr:row>0</xdr:row>
      <xdr:rowOff>142875</xdr:rowOff>
    </xdr:from>
    <xdr:to>
      <xdr:col>12</xdr:col>
      <xdr:colOff>148167</xdr:colOff>
      <xdr:row>2</xdr:row>
      <xdr:rowOff>199927</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7791450" y="142875"/>
          <a:ext cx="2310342" cy="780952"/>
        </a:xfrm>
        <a:prstGeom prst="rect">
          <a:avLst/>
        </a:prstGeom>
      </xdr:spPr>
    </xdr:pic>
    <xdr:clientData/>
  </xdr:twoCellAnchor>
  <xdr:twoCellAnchor>
    <xdr:from>
      <xdr:col>1</xdr:col>
      <xdr:colOff>714375</xdr:colOff>
      <xdr:row>135</xdr:row>
      <xdr:rowOff>57150</xdr:rowOff>
    </xdr:from>
    <xdr:to>
      <xdr:col>12</xdr:col>
      <xdr:colOff>47625</xdr:colOff>
      <xdr:row>137</xdr:row>
      <xdr:rowOff>104775</xdr:rowOff>
    </xdr:to>
    <xdr:sp macro="" textlink="">
      <xdr:nvSpPr>
        <xdr:cNvPr id="3" name="TextBox 2"/>
        <xdr:cNvSpPr txBox="1"/>
      </xdr:nvSpPr>
      <xdr:spPr>
        <a:xfrm>
          <a:off x="962025" y="26355675"/>
          <a:ext cx="880110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a:solidFill>
                <a:srgbClr val="56A12D"/>
              </a:solidFill>
            </a:rPr>
            <a:t>YOU HAVE NOW ENTERED ALL OF YOUR EXPENSES </a:t>
          </a:r>
          <a:r>
            <a:rPr lang="en-US" sz="1800" b="1" baseline="0">
              <a:solidFill>
                <a:srgbClr val="56A12D"/>
              </a:solidFill>
            </a:rPr>
            <a:t>FOR THE RANCH!</a:t>
          </a:r>
          <a:endParaRPr lang="en-US" sz="1600" b="1">
            <a:solidFill>
              <a:srgbClr val="122B4A"/>
            </a:solidFill>
          </a:endParaRPr>
        </a:p>
      </xdr:txBody>
    </xdr:sp>
    <xdr:clientData/>
  </xdr:twoCellAnchor>
  <xdr:twoCellAnchor>
    <xdr:from>
      <xdr:col>0</xdr:col>
      <xdr:colOff>171450</xdr:colOff>
      <xdr:row>6</xdr:row>
      <xdr:rowOff>76199</xdr:rowOff>
    </xdr:from>
    <xdr:to>
      <xdr:col>10</xdr:col>
      <xdr:colOff>297398</xdr:colOff>
      <xdr:row>6</xdr:row>
      <xdr:rowOff>381000</xdr:rowOff>
    </xdr:to>
    <xdr:sp macro="" textlink="">
      <xdr:nvSpPr>
        <xdr:cNvPr id="4" name="TextBox 3"/>
        <xdr:cNvSpPr txBox="1"/>
      </xdr:nvSpPr>
      <xdr:spPr>
        <a:xfrm>
          <a:off x="171450" y="1885949"/>
          <a:ext cx="8765123" cy="304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your LIVESTOCK</a:t>
          </a:r>
          <a:r>
            <a:rPr lang="en-US" sz="1600" b="1" baseline="0">
              <a:solidFill>
                <a:srgbClr val="122B4A"/>
              </a:solidFill>
            </a:rPr>
            <a:t> </a:t>
          </a:r>
          <a:r>
            <a:rPr lang="en-US" sz="1600" b="1">
              <a:solidFill>
                <a:srgbClr val="122B4A"/>
              </a:solidFill>
            </a:rPr>
            <a:t>related expenses &amp; allocate them across the LIVESTOCK enterprises</a:t>
          </a:r>
        </a:p>
      </xdr:txBody>
    </xdr:sp>
    <xdr:clientData/>
  </xdr:twoCellAnchor>
  <xdr:twoCellAnchor>
    <xdr:from>
      <xdr:col>1</xdr:col>
      <xdr:colOff>0</xdr:colOff>
      <xdr:row>30</xdr:row>
      <xdr:rowOff>171450</xdr:rowOff>
    </xdr:from>
    <xdr:to>
      <xdr:col>12</xdr:col>
      <xdr:colOff>361950</xdr:colOff>
      <xdr:row>31</xdr:row>
      <xdr:rowOff>333375</xdr:rowOff>
    </xdr:to>
    <xdr:sp macro="" textlink="">
      <xdr:nvSpPr>
        <xdr:cNvPr id="5" name="TextBox 4"/>
        <xdr:cNvSpPr txBox="1"/>
      </xdr:nvSpPr>
      <xdr:spPr>
        <a:xfrm>
          <a:off x="247650" y="6219825"/>
          <a:ext cx="9925050"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2 </a:t>
          </a:r>
          <a:r>
            <a:rPr lang="en-US" sz="1600" b="1">
              <a:solidFill>
                <a:srgbClr val="56A12D"/>
              </a:solidFill>
            </a:rPr>
            <a:t>- </a:t>
          </a:r>
          <a:r>
            <a:rPr lang="en-US" sz="1600" b="1">
              <a:solidFill>
                <a:srgbClr val="122B4A"/>
              </a:solidFill>
            </a:rPr>
            <a:t>Enter your SHARED expenses &amp; allocate each expense to the enterprises responsible for</a:t>
          </a:r>
          <a:r>
            <a:rPr lang="en-US" sz="1600" b="1" baseline="0">
              <a:solidFill>
                <a:srgbClr val="122B4A"/>
              </a:solidFill>
            </a:rPr>
            <a:t> it</a:t>
          </a:r>
          <a:endParaRPr lang="en-US" sz="1600" b="1">
            <a:solidFill>
              <a:srgbClr val="122B4A"/>
            </a:solidFill>
          </a:endParaRPr>
        </a:p>
      </xdr:txBody>
    </xdr:sp>
    <xdr:clientData/>
  </xdr:twoCellAnchor>
  <xdr:twoCellAnchor>
    <xdr:from>
      <xdr:col>1</xdr:col>
      <xdr:colOff>0</xdr:colOff>
      <xdr:row>0</xdr:row>
      <xdr:rowOff>190499</xdr:rowOff>
    </xdr:from>
    <xdr:to>
      <xdr:col>8</xdr:col>
      <xdr:colOff>333375</xdr:colOff>
      <xdr:row>6</xdr:row>
      <xdr:rowOff>133350</xdr:rowOff>
    </xdr:to>
    <xdr:sp macro="" textlink="">
      <xdr:nvSpPr>
        <xdr:cNvPr id="6" name="TextBox 5"/>
        <xdr:cNvSpPr txBox="1"/>
      </xdr:nvSpPr>
      <xdr:spPr>
        <a:xfrm>
          <a:off x="247650" y="190499"/>
          <a:ext cx="7410450" cy="1752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baseline="0" smtClean="0">
              <a:solidFill>
                <a:srgbClr val="122B4A"/>
              </a:solidFill>
              <a:latin typeface="+mn-lt"/>
              <a:ea typeface="+mn-ea"/>
              <a:cs typeface="+mn-cs"/>
            </a:rPr>
            <a:t>HELPFUL HINTS</a:t>
          </a:r>
        </a:p>
        <a:p>
          <a:r>
            <a:rPr lang="en-US" sz="1100" i="1" baseline="0" smtClean="0">
              <a:solidFill>
                <a:schemeClr val="tx1">
                  <a:lumMod val="50000"/>
                  <a:lumOff val="50000"/>
                </a:schemeClr>
              </a:solidFill>
              <a:latin typeface="+mn-lt"/>
              <a:ea typeface="+mn-ea"/>
              <a:cs typeface="+mn-cs"/>
            </a:rPr>
            <a:t>We recognize that the farm does pay a portion of personal expenses, but to analyze the farm enterprises fairly, we need to remove personal expenses from the analysis.</a:t>
          </a:r>
        </a:p>
        <a:p>
          <a:endParaRPr lang="en-US" sz="1100" i="1" baseline="0" smtClean="0">
            <a:solidFill>
              <a:schemeClr val="tx1">
                <a:lumMod val="50000"/>
                <a:lumOff val="50000"/>
              </a:schemeClr>
            </a:solidFill>
            <a:latin typeface="+mn-lt"/>
            <a:ea typeface="+mn-ea"/>
            <a:cs typeface="+mn-cs"/>
          </a:endParaRPr>
        </a:p>
        <a:p>
          <a:r>
            <a:rPr lang="en-US" sz="1100" i="1" baseline="0" smtClean="0">
              <a:solidFill>
                <a:schemeClr val="tx1">
                  <a:lumMod val="50000"/>
                  <a:lumOff val="50000"/>
                </a:schemeClr>
              </a:solidFill>
              <a:latin typeface="+mn-lt"/>
              <a:ea typeface="+mn-ea"/>
              <a:cs typeface="+mn-cs"/>
            </a:rPr>
            <a:t>Expense categories are supplied, but you can provide some detail as needed. Categorizing the expenses enables you to compare your costs with other similar farm enterprises and with the Cost of Production reports posted by WBDC.</a:t>
          </a:r>
        </a:p>
        <a:p>
          <a:endParaRPr lang="en-US" sz="1100" i="1" baseline="0" smtClean="0">
            <a:solidFill>
              <a:schemeClr val="tx1">
                <a:lumMod val="50000"/>
                <a:lumOff val="50000"/>
              </a:schemeClr>
            </a:solidFill>
            <a:latin typeface="+mn-lt"/>
            <a:ea typeface="+mn-ea"/>
            <a:cs typeface="+mn-cs"/>
          </a:endParaRPr>
        </a:p>
        <a:p>
          <a:r>
            <a:rPr lang="en-US" sz="1100" i="1" baseline="0" smtClean="0">
              <a:solidFill>
                <a:schemeClr val="tx1">
                  <a:lumMod val="50000"/>
                  <a:lumOff val="50000"/>
                </a:schemeClr>
              </a:solidFill>
              <a:latin typeface="+mn-lt"/>
              <a:ea typeface="+mn-ea"/>
              <a:cs typeface="+mn-cs"/>
            </a:rPr>
            <a:t>Enter your total expense  under (Total$) for each expense item. Your expense information will come from your financial records and then allocate (percentage out) the expense to the enterprises responsible for it.</a:t>
          </a:r>
        </a:p>
        <a:p>
          <a:endParaRPr lang="en-US" sz="1100" i="1" baseline="0" smtClean="0">
            <a:solidFill>
              <a:schemeClr val="tx1">
                <a:lumMod val="50000"/>
                <a:lumOff val="50000"/>
              </a:schemeClr>
            </a:solidFill>
            <a:latin typeface="+mn-lt"/>
            <a:ea typeface="+mn-ea"/>
            <a:cs typeface="+mn-cs"/>
          </a:endParaRPr>
        </a:p>
        <a:p>
          <a:r>
            <a:rPr lang="en-US" sz="1100" i="1" baseline="0" smtClean="0">
              <a:solidFill>
                <a:schemeClr val="accent2">
                  <a:lumMod val="75000"/>
                </a:schemeClr>
              </a:solidFill>
              <a:latin typeface="+mn-lt"/>
              <a:ea typeface="+mn-ea"/>
              <a:cs typeface="+mn-cs"/>
            </a:rPr>
            <a:t>The % Allocated cell will be shaded red if the total allocations are not equal to 100%.</a:t>
          </a:r>
          <a:endParaRPr lang="en-US" sz="1100" i="1">
            <a:solidFill>
              <a:schemeClr val="accent2">
                <a:lumMod val="75000"/>
              </a:schemeClr>
            </a:solidFill>
          </a:endParaRPr>
        </a:p>
      </xdr:txBody>
    </xdr:sp>
    <xdr:clientData/>
  </xdr:twoCellAnchor>
  <xdr:twoCellAnchor>
    <xdr:from>
      <xdr:col>1</xdr:col>
      <xdr:colOff>0</xdr:colOff>
      <xdr:row>32</xdr:row>
      <xdr:rowOff>85726</xdr:rowOff>
    </xdr:from>
    <xdr:to>
      <xdr:col>10</xdr:col>
      <xdr:colOff>276225</xdr:colOff>
      <xdr:row>35</xdr:row>
      <xdr:rowOff>242455</xdr:rowOff>
    </xdr:to>
    <xdr:sp macro="" textlink="">
      <xdr:nvSpPr>
        <xdr:cNvPr id="8" name="TextBox 7"/>
        <xdr:cNvSpPr txBox="1"/>
      </xdr:nvSpPr>
      <xdr:spPr>
        <a:xfrm>
          <a:off x="251114" y="8571635"/>
          <a:ext cx="8649566" cy="936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baseline="0" smtClean="0">
              <a:solidFill>
                <a:srgbClr val="122B4A"/>
              </a:solidFill>
              <a:latin typeface="+mn-lt"/>
              <a:ea typeface="+mn-ea"/>
              <a:cs typeface="+mn-cs"/>
            </a:rPr>
            <a:t>HELPFUL HINTS</a:t>
          </a:r>
        </a:p>
        <a:p>
          <a:pPr marL="0" marR="0" indent="0" defTabSz="914400" eaLnBrk="1" fontAlgn="auto" latinLnBrk="0" hangingPunct="1">
            <a:lnSpc>
              <a:spcPct val="100000"/>
            </a:lnSpc>
            <a:spcBef>
              <a:spcPts val="0"/>
            </a:spcBef>
            <a:spcAft>
              <a:spcPts val="0"/>
            </a:spcAft>
            <a:buClrTx/>
            <a:buSzTx/>
            <a:buFontTx/>
            <a:buNone/>
            <a:tabLst/>
            <a:defRPr/>
          </a:pPr>
          <a:r>
            <a:rPr lang="en-US" sz="1100" i="1" baseline="0" smtClean="0">
              <a:solidFill>
                <a:schemeClr val="tx1">
                  <a:lumMod val="50000"/>
                  <a:lumOff val="50000"/>
                </a:schemeClr>
              </a:solidFill>
              <a:latin typeface="+mn-lt"/>
              <a:ea typeface="+mn-ea"/>
              <a:cs typeface="+mn-cs"/>
            </a:rPr>
            <a:t>Shared expenses are those expenses that typically have multiple enterprises responsible for the expense. In the COP reports for each enterprise, the expenses will be summarized under the overhead /yardage expense category. </a:t>
          </a:r>
        </a:p>
        <a:p>
          <a:pPr marL="0" marR="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accent2">
                  <a:lumMod val="75000"/>
                </a:schemeClr>
              </a:solidFill>
              <a:latin typeface="+mn-lt"/>
              <a:ea typeface="+mn-ea"/>
              <a:cs typeface="+mn-cs"/>
            </a:rPr>
            <a:t>The % Allocated cell will be shaded red if the total allocations are not equal to 100%.</a:t>
          </a:r>
          <a:endParaRPr lang="en-US" sz="1100" i="1">
            <a:solidFill>
              <a:schemeClr val="accent2">
                <a:lumMod val="75000"/>
              </a:schemeClr>
            </a:solidFill>
            <a:latin typeface="+mn-lt"/>
            <a:ea typeface="+mn-ea"/>
            <a:cs typeface="+mn-cs"/>
          </a:endParaRPr>
        </a:p>
        <a:p>
          <a:endParaRPr lang="en-US" sz="1100" i="1">
            <a:solidFill>
              <a:schemeClr val="tx1">
                <a:lumMod val="50000"/>
                <a:lumOff val="50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514350</xdr:colOff>
      <xdr:row>0</xdr:row>
      <xdr:rowOff>142875</xdr:rowOff>
    </xdr:from>
    <xdr:to>
      <xdr:col>16</xdr:col>
      <xdr:colOff>0</xdr:colOff>
      <xdr:row>1</xdr:row>
      <xdr:rowOff>37690</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8401050" y="142875"/>
          <a:ext cx="1943100" cy="656815"/>
        </a:xfrm>
        <a:prstGeom prst="rect">
          <a:avLst/>
        </a:prstGeom>
      </xdr:spPr>
    </xdr:pic>
    <xdr:clientData/>
  </xdr:twoCellAnchor>
  <xdr:twoCellAnchor>
    <xdr:from>
      <xdr:col>1</xdr:col>
      <xdr:colOff>0</xdr:colOff>
      <xdr:row>9</xdr:row>
      <xdr:rowOff>0</xdr:rowOff>
    </xdr:from>
    <xdr:to>
      <xdr:col>15</xdr:col>
      <xdr:colOff>285750</xdr:colOff>
      <xdr:row>24</xdr:row>
      <xdr:rowOff>76200</xdr:rowOff>
    </xdr:to>
    <xdr:sp macro="" textlink="">
      <xdr:nvSpPr>
        <xdr:cNvPr id="3" name="TextBox 2"/>
        <xdr:cNvSpPr txBox="1"/>
      </xdr:nvSpPr>
      <xdr:spPr>
        <a:xfrm>
          <a:off x="276225" y="2962275"/>
          <a:ext cx="9744075" cy="293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r>
            <a:rPr lang="en-US" sz="1400" b="1">
              <a:solidFill>
                <a:srgbClr val="1F1448"/>
              </a:solidFill>
              <a:latin typeface="+mn-lt"/>
              <a:ea typeface="+mn-ea"/>
              <a:cs typeface="+mn-cs"/>
            </a:rPr>
            <a:t>HELPFUL HINTS</a:t>
          </a:r>
        </a:p>
        <a:p>
          <a:r>
            <a:rPr lang="en-US" sz="1100" i="1" baseline="0" smtClean="0">
              <a:solidFill>
                <a:schemeClr val="tx1">
                  <a:lumMod val="50000"/>
                  <a:lumOff val="50000"/>
                </a:schemeClr>
              </a:solidFill>
              <a:latin typeface="+mn-lt"/>
              <a:ea typeface="+mn-ea"/>
              <a:cs typeface="+mn-cs"/>
            </a:rPr>
            <a:t>Unpaid labour is labour contributed by you and your family, but not paid in the form of a salary, hourly wage or contract amount. It does not represent family living costs, but rather the approximate market value of the operator and family labour provided. This type of labour is often considered as a portion of the business's return to equity or profit. However, to be comparable with analyses of corporate farms as well as Production Economics' benchmark data, this Excel tool includes unpaidlabour as a non-cash expense.</a:t>
          </a:r>
        </a:p>
        <a:p>
          <a:endParaRPr lang="en-US" sz="1100" i="1" baseline="0" smtClean="0">
            <a:solidFill>
              <a:schemeClr val="tx1">
                <a:lumMod val="50000"/>
                <a:lumOff val="50000"/>
              </a:schemeClr>
            </a:solidFill>
            <a:latin typeface="+mn-lt"/>
            <a:ea typeface="+mn-ea"/>
            <a:cs typeface="+mn-cs"/>
          </a:endParaRPr>
        </a:p>
        <a:p>
          <a:r>
            <a:rPr lang="en-US" sz="1100" i="1" baseline="0" smtClean="0">
              <a:solidFill>
                <a:schemeClr val="tx1">
                  <a:lumMod val="50000"/>
                  <a:lumOff val="50000"/>
                </a:schemeClr>
              </a:solidFill>
              <a:latin typeface="+mn-lt"/>
              <a:ea typeface="+mn-ea"/>
              <a:cs typeface="+mn-cs"/>
            </a:rPr>
            <a:t>Including unpaid labour provides a more useful enterprise analysis because your and your family's time is valuable and limited. If you don't consider unpaid labour, an enterprise may not be as profitable as it appears. </a:t>
          </a:r>
        </a:p>
        <a:p>
          <a:endParaRPr lang="en-US" sz="1100" b="0" i="1" baseline="0" smtClean="0">
            <a:solidFill>
              <a:schemeClr val="tx1">
                <a:lumMod val="50000"/>
                <a:lumOff val="50000"/>
              </a:schemeClr>
            </a:solidFill>
            <a:latin typeface="+mn-lt"/>
            <a:ea typeface="+mn-ea"/>
            <a:cs typeface="+mn-cs"/>
          </a:endParaRPr>
        </a:p>
        <a:p>
          <a:r>
            <a:rPr lang="en-US" sz="1100" b="0" i="1" baseline="0" smtClean="0">
              <a:solidFill>
                <a:schemeClr val="tx1">
                  <a:lumMod val="50000"/>
                  <a:lumOff val="50000"/>
                </a:schemeClr>
              </a:solidFill>
              <a:latin typeface="+mn-lt"/>
              <a:ea typeface="+mn-ea"/>
              <a:cs typeface="+mn-cs"/>
            </a:rPr>
            <a:t>As a starting point in determining the market value of your unpaid labour, consider the following: if you do not have an off-farm job, ranching is your full-time job. A full-time job is 40 hours/week x 52 weeks per year = 2080 hours. Deduct 2 weeks holidays and you have a total of 2000 hrs per year that you could essentially be earning income off the ranch. The average hourly wage rate in Saskatchewan for the primary sector (which includes agriculture, forestry, fishing and mining) was $25/hour in 2013. Therefore, your ranch enterprises collectively should be able to provide you with $50,000 (2000 hr x $25/hr) in unpaid labour.</a:t>
          </a:r>
          <a:endParaRPr lang="en-US" sz="1100" b="0" i="1" baseline="0">
            <a:solidFill>
              <a:schemeClr val="tx1">
                <a:lumMod val="50000"/>
                <a:lumOff val="50000"/>
              </a:schemeClr>
            </a:solidFill>
            <a:latin typeface="+mn-lt"/>
            <a:ea typeface="+mn-ea"/>
            <a:cs typeface="+mn-cs"/>
          </a:endParaRPr>
        </a:p>
        <a:p>
          <a:pPr lvl="0"/>
          <a:endParaRPr lang="en-US" sz="1100" i="1">
            <a:solidFill>
              <a:schemeClr val="tx1">
                <a:lumMod val="85000"/>
                <a:lumOff val="15000"/>
              </a:schemeClr>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9524</xdr:colOff>
      <xdr:row>51</xdr:row>
      <xdr:rowOff>171450</xdr:rowOff>
    </xdr:from>
    <xdr:to>
      <xdr:col>15</xdr:col>
      <xdr:colOff>28575</xdr:colOff>
      <xdr:row>61</xdr:row>
      <xdr:rowOff>190500</xdr:rowOff>
    </xdr:to>
    <xdr:sp macro="" textlink="">
      <xdr:nvSpPr>
        <xdr:cNvPr id="2" name="TextBox 1"/>
        <xdr:cNvSpPr txBox="1"/>
      </xdr:nvSpPr>
      <xdr:spPr>
        <a:xfrm>
          <a:off x="247649" y="14935200"/>
          <a:ext cx="11008520" cy="19954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r>
            <a:rPr lang="en-US" sz="1400" b="1">
              <a:solidFill>
                <a:srgbClr val="122B4A"/>
              </a:solidFill>
              <a:latin typeface="+mn-lt"/>
              <a:ea typeface="+mn-ea"/>
              <a:cs typeface="+mn-cs"/>
            </a:rPr>
            <a:t>HELPFUL HINT  </a:t>
          </a:r>
        </a:p>
        <a:p>
          <a:pPr lvl="0"/>
          <a:r>
            <a:rPr lang="en-US" sz="1100" b="0" i="1">
              <a:solidFill>
                <a:schemeClr val="tx1">
                  <a:lumMod val="65000"/>
                  <a:lumOff val="35000"/>
                </a:schemeClr>
              </a:solidFill>
              <a:latin typeface="+mn-lt"/>
              <a:ea typeface="+mn-ea"/>
              <a:cs typeface="+mn-cs"/>
            </a:rPr>
            <a:t>Enter</a:t>
          </a:r>
          <a:r>
            <a:rPr lang="en-US" sz="1100" b="0" i="1" baseline="0">
              <a:solidFill>
                <a:schemeClr val="tx1">
                  <a:lumMod val="65000"/>
                  <a:lumOff val="35000"/>
                </a:schemeClr>
              </a:solidFill>
              <a:latin typeface="+mn-lt"/>
              <a:ea typeface="+mn-ea"/>
              <a:cs typeface="+mn-cs"/>
            </a:rPr>
            <a:t> all your buildings, storage (graineries), fence and livestock equipment </a:t>
          </a:r>
          <a:r>
            <a:rPr lang="en-US" sz="1100" i="1">
              <a:solidFill>
                <a:schemeClr val="tx1">
                  <a:lumMod val="65000"/>
                  <a:lumOff val="35000"/>
                </a:schemeClr>
              </a:solidFill>
              <a:latin typeface="+mn-lt"/>
              <a:ea typeface="+mn-ea"/>
              <a:cs typeface="+mn-cs"/>
            </a:rPr>
            <a:t>(feeders, chutes, waterers, handling systems, scaleheads, wand</a:t>
          </a:r>
          <a:r>
            <a:rPr lang="en-US" sz="1100" i="1" baseline="0">
              <a:solidFill>
                <a:schemeClr val="tx1">
                  <a:lumMod val="65000"/>
                  <a:lumOff val="35000"/>
                </a:schemeClr>
              </a:solidFill>
              <a:latin typeface="+mn-lt"/>
              <a:ea typeface="+mn-ea"/>
              <a:cs typeface="+mn-cs"/>
            </a:rPr>
            <a:t> reader, etc</a:t>
          </a:r>
          <a:r>
            <a:rPr lang="en-US" sz="1100" i="1">
              <a:solidFill>
                <a:schemeClr val="tx1">
                  <a:lumMod val="65000"/>
                  <a:lumOff val="35000"/>
                </a:schemeClr>
              </a:solidFill>
              <a:latin typeface="+mn-lt"/>
              <a:ea typeface="+mn-ea"/>
              <a:cs typeface="+mn-cs"/>
            </a:rPr>
            <a:t>) with an estimated current market value .</a:t>
          </a:r>
          <a:r>
            <a:rPr lang="en-US" sz="1100" i="1" baseline="0">
              <a:solidFill>
                <a:schemeClr val="tx1">
                  <a:lumMod val="65000"/>
                  <a:lumOff val="35000"/>
                </a:schemeClr>
              </a:solidFill>
              <a:latin typeface="+mn-lt"/>
              <a:ea typeface="+mn-ea"/>
              <a:cs typeface="+mn-cs"/>
            </a:rPr>
            <a:t> </a:t>
          </a:r>
          <a:r>
            <a:rPr lang="en-US" sz="1100" i="1">
              <a:solidFill>
                <a:schemeClr val="tx1">
                  <a:lumMod val="65000"/>
                  <a:lumOff val="35000"/>
                </a:schemeClr>
              </a:solidFill>
              <a:latin typeface="+mn-lt"/>
              <a:ea typeface="+mn-ea"/>
              <a:cs typeface="+mn-cs"/>
            </a:rPr>
            <a:t>A percentage of your home’s value should be included in the list</a:t>
          </a:r>
          <a:r>
            <a:rPr lang="en-US" sz="1100" i="1" baseline="0">
              <a:solidFill>
                <a:schemeClr val="tx1">
                  <a:lumMod val="65000"/>
                  <a:lumOff val="35000"/>
                </a:schemeClr>
              </a:solidFill>
              <a:latin typeface="+mn-lt"/>
              <a:ea typeface="+mn-ea"/>
              <a:cs typeface="+mn-cs"/>
            </a:rPr>
            <a:t>.</a:t>
          </a:r>
          <a:endParaRPr lang="en-US" sz="1100" i="1">
            <a:solidFill>
              <a:schemeClr val="tx1">
                <a:lumMod val="65000"/>
                <a:lumOff val="35000"/>
              </a:schemeClr>
            </a:solidFill>
            <a:latin typeface="+mn-lt"/>
            <a:ea typeface="+mn-ea"/>
            <a:cs typeface="+mn-cs"/>
          </a:endParaRPr>
        </a:p>
        <a:p>
          <a:pPr lvl="0"/>
          <a:endParaRPr lang="en-US" sz="1100" i="1">
            <a:solidFill>
              <a:schemeClr val="tx1">
                <a:lumMod val="65000"/>
                <a:lumOff val="35000"/>
              </a:schemeClr>
            </a:solidFill>
            <a:latin typeface="+mn-lt"/>
            <a:ea typeface="+mn-ea"/>
            <a:cs typeface="+mn-cs"/>
          </a:endParaRPr>
        </a:p>
        <a:p>
          <a:pPr lvl="0"/>
          <a:r>
            <a:rPr lang="en-US" sz="1100" i="1">
              <a:solidFill>
                <a:schemeClr val="tx1">
                  <a:lumMod val="65000"/>
                  <a:lumOff val="35000"/>
                </a:schemeClr>
              </a:solidFill>
              <a:latin typeface="+mn-lt"/>
              <a:ea typeface="+mn-ea"/>
              <a:cs typeface="+mn-cs"/>
            </a:rPr>
            <a:t>Building assets are typically depreciated 5% per year. Increase this rate for assets that will depreciate</a:t>
          </a:r>
          <a:r>
            <a:rPr lang="en-US" sz="1100" i="1" baseline="0">
              <a:solidFill>
                <a:schemeClr val="tx1">
                  <a:lumMod val="65000"/>
                  <a:lumOff val="35000"/>
                </a:schemeClr>
              </a:solidFill>
              <a:latin typeface="+mn-lt"/>
              <a:ea typeface="+mn-ea"/>
              <a:cs typeface="+mn-cs"/>
            </a:rPr>
            <a:t> more quickly or lower the rate for something that will last longer than 20 yrs. A rate of 0% can be used (sparingly) for assets that are fully depreciated.</a:t>
          </a:r>
          <a:endParaRPr lang="en-US" sz="1100" i="1">
            <a:solidFill>
              <a:schemeClr val="tx1">
                <a:lumMod val="65000"/>
                <a:lumOff val="35000"/>
              </a:schemeClr>
            </a:solidFill>
            <a:latin typeface="+mn-lt"/>
            <a:ea typeface="+mn-ea"/>
            <a:cs typeface="+mn-cs"/>
          </a:endParaRPr>
        </a:p>
        <a:p>
          <a:pPr lvl="0"/>
          <a:endParaRPr lang="en-US" sz="1100">
            <a:solidFill>
              <a:schemeClr val="tx1">
                <a:lumMod val="65000"/>
                <a:lumOff val="35000"/>
              </a:schemeClr>
            </a:solidFill>
            <a:latin typeface="+mn-lt"/>
            <a:ea typeface="+mn-ea"/>
            <a:cs typeface="+mn-cs"/>
          </a:endParaRPr>
        </a:p>
        <a:p>
          <a:pPr lvl="0"/>
          <a:r>
            <a:rPr lang="en-US" sz="1100" i="1">
              <a:solidFill>
                <a:schemeClr val="tx1">
                  <a:lumMod val="65000"/>
                  <a:lumOff val="35000"/>
                </a:schemeClr>
              </a:solidFill>
              <a:latin typeface="+mn-lt"/>
              <a:ea typeface="+mn-ea"/>
              <a:cs typeface="+mn-cs"/>
            </a:rPr>
            <a:t>For buildings used by multiple enterprises, the building’s use will need to be considered to help you determine how to allocate (aka percentage out) the depreciation to the enterprises that use the asset.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accent2">
                  <a:lumMod val="75000"/>
                </a:schemeClr>
              </a:solidFill>
              <a:latin typeface="+mn-lt"/>
              <a:ea typeface="+mn-ea"/>
              <a:cs typeface="+mn-cs"/>
            </a:rPr>
            <a:t>Assets</a:t>
          </a:r>
          <a:r>
            <a:rPr lang="en-US" sz="1100" b="1" baseline="0">
              <a:solidFill>
                <a:schemeClr val="accent2">
                  <a:lumMod val="75000"/>
                </a:schemeClr>
              </a:solidFill>
              <a:latin typeface="+mn-lt"/>
              <a:ea typeface="+mn-ea"/>
              <a:cs typeface="+mn-cs"/>
            </a:rPr>
            <a:t> that are over or under 100% Allocated to the enterprises will have the % Allocated cell shaded red.</a:t>
          </a:r>
          <a:endParaRPr lang="en-US" sz="1100" b="1">
            <a:solidFill>
              <a:schemeClr val="accent2">
                <a:lumMod val="75000"/>
              </a:schemeClr>
            </a:solidFill>
            <a:latin typeface="+mn-lt"/>
            <a:ea typeface="+mn-ea"/>
            <a:cs typeface="+mn-cs"/>
          </a:endParaRPr>
        </a:p>
        <a:p>
          <a:pPr lvl="0"/>
          <a:endParaRPr lang="en-US" sz="1100" i="1">
            <a:solidFill>
              <a:schemeClr val="tx1">
                <a:lumMod val="65000"/>
                <a:lumOff val="35000"/>
              </a:schemeClr>
            </a:solidFill>
            <a:latin typeface="+mn-lt"/>
            <a:ea typeface="+mn-ea"/>
            <a:cs typeface="+mn-cs"/>
          </a:endParaRPr>
        </a:p>
        <a:p>
          <a:endParaRPr lang="en-US" sz="1100" i="1">
            <a:solidFill>
              <a:schemeClr val="tx1">
                <a:lumMod val="65000"/>
                <a:lumOff val="35000"/>
              </a:schemeClr>
            </a:solidFill>
          </a:endParaRPr>
        </a:p>
      </xdr:txBody>
    </xdr:sp>
    <xdr:clientData/>
  </xdr:twoCellAnchor>
  <xdr:twoCellAnchor>
    <xdr:from>
      <xdr:col>0</xdr:col>
      <xdr:colOff>228600</xdr:colOff>
      <xdr:row>0</xdr:row>
      <xdr:rowOff>619125</xdr:rowOff>
    </xdr:from>
    <xdr:to>
      <xdr:col>15</xdr:col>
      <xdr:colOff>38100</xdr:colOff>
      <xdr:row>3</xdr:row>
      <xdr:rowOff>455082</xdr:rowOff>
    </xdr:to>
    <xdr:sp macro="" textlink="">
      <xdr:nvSpPr>
        <xdr:cNvPr id="3" name="TextBox 2"/>
        <xdr:cNvSpPr txBox="1"/>
      </xdr:nvSpPr>
      <xdr:spPr>
        <a:xfrm>
          <a:off x="228600" y="619125"/>
          <a:ext cx="11037094" cy="2776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r>
            <a:rPr lang="en-US" sz="1400" b="1">
              <a:solidFill>
                <a:srgbClr val="1F1448"/>
              </a:solidFill>
              <a:latin typeface="+mn-lt"/>
              <a:ea typeface="+mn-ea"/>
              <a:cs typeface="+mn-cs"/>
            </a:rPr>
            <a:t>HELPFUL HINTS</a:t>
          </a:r>
        </a:p>
        <a:p>
          <a:pPr lvl="0"/>
          <a:r>
            <a:rPr lang="en-US" sz="1100" b="0" i="1">
              <a:solidFill>
                <a:schemeClr val="tx1">
                  <a:lumMod val="50000"/>
                  <a:lumOff val="50000"/>
                </a:schemeClr>
              </a:solidFill>
              <a:latin typeface="+mn-lt"/>
              <a:ea typeface="+mn-ea"/>
              <a:cs typeface="+mn-cs"/>
            </a:rPr>
            <a:t>Enter</a:t>
          </a:r>
          <a:r>
            <a:rPr lang="en-US" sz="1100" b="0" i="1" baseline="0">
              <a:solidFill>
                <a:schemeClr val="tx1">
                  <a:lumMod val="50000"/>
                  <a:lumOff val="50000"/>
                </a:schemeClr>
              </a:solidFill>
              <a:latin typeface="+mn-lt"/>
              <a:ea typeface="+mn-ea"/>
              <a:cs typeface="+mn-cs"/>
            </a:rPr>
            <a:t> all your asset  information - asset name, current value, percentage used in each enterprise - in the tables below. </a:t>
          </a:r>
        </a:p>
        <a:p>
          <a:pPr lvl="0"/>
          <a:endParaRPr lang="en-US" sz="1100" b="0" i="1" baseline="0">
            <a:solidFill>
              <a:schemeClr val="tx1">
                <a:lumMod val="50000"/>
                <a:lumOff val="50000"/>
              </a:schemeClr>
            </a:solidFill>
            <a:latin typeface="+mn-lt"/>
            <a:ea typeface="+mn-ea"/>
            <a:cs typeface="+mn-cs"/>
          </a:endParaRPr>
        </a:p>
        <a:p>
          <a:pPr lvl="0"/>
          <a:r>
            <a:rPr lang="en-US" sz="1100" b="0" i="1" baseline="0">
              <a:solidFill>
                <a:schemeClr val="tx1">
                  <a:lumMod val="50000"/>
                  <a:lumOff val="50000"/>
                </a:schemeClr>
              </a:solidFill>
              <a:latin typeface="+mn-lt"/>
              <a:ea typeface="+mn-ea"/>
              <a:cs typeface="+mn-cs"/>
            </a:rPr>
            <a:t>Step 1) Powered Machinery, Step 2) Non-Powered machinery ,and; Step 3) Buildings, storage, fence and livestock equipment . </a:t>
          </a:r>
          <a:r>
            <a:rPr lang="en-US" sz="1100" i="1">
              <a:solidFill>
                <a:schemeClr val="tx1">
                  <a:lumMod val="50000"/>
                  <a:lumOff val="50000"/>
                </a:schemeClr>
              </a:solidFill>
              <a:latin typeface="+mn-lt"/>
              <a:ea typeface="+mn-ea"/>
              <a:cs typeface="+mn-cs"/>
            </a:rPr>
            <a:t> </a:t>
          </a:r>
        </a:p>
        <a:p>
          <a:pPr lvl="0"/>
          <a:endParaRPr lang="en-US" sz="1100" i="1">
            <a:solidFill>
              <a:schemeClr val="tx1">
                <a:lumMod val="50000"/>
                <a:lumOff val="50000"/>
              </a:schemeClr>
            </a:solidFill>
            <a:latin typeface="+mn-lt"/>
            <a:ea typeface="+mn-ea"/>
            <a:cs typeface="+mn-cs"/>
          </a:endParaRPr>
        </a:p>
        <a:p>
          <a:pPr lvl="0"/>
          <a:r>
            <a:rPr lang="en-US" sz="1100" i="1">
              <a:solidFill>
                <a:schemeClr val="tx1">
                  <a:lumMod val="50000"/>
                  <a:lumOff val="50000"/>
                </a:schemeClr>
              </a:solidFill>
              <a:latin typeface="+mn-lt"/>
              <a:ea typeface="+mn-ea"/>
              <a:cs typeface="+mn-cs"/>
            </a:rPr>
            <a:t>Powered machinery is typically charged a 8% rate of depreciation and non-powered 11.5% . Feel free</a:t>
          </a:r>
          <a:r>
            <a:rPr lang="en-US" sz="1100" i="1" baseline="0">
              <a:solidFill>
                <a:schemeClr val="tx1">
                  <a:lumMod val="50000"/>
                  <a:lumOff val="50000"/>
                </a:schemeClr>
              </a:solidFill>
              <a:latin typeface="+mn-lt"/>
              <a:ea typeface="+mn-ea"/>
              <a:cs typeface="+mn-cs"/>
            </a:rPr>
            <a:t> to i</a:t>
          </a:r>
          <a:r>
            <a:rPr lang="en-US" sz="1100" i="1">
              <a:solidFill>
                <a:schemeClr val="tx1">
                  <a:lumMod val="50000"/>
                  <a:lumOff val="50000"/>
                </a:schemeClr>
              </a:solidFill>
              <a:latin typeface="+mn-lt"/>
              <a:ea typeface="+mn-ea"/>
              <a:cs typeface="+mn-cs"/>
            </a:rPr>
            <a:t>ncrease this rate for assets that will depreciate</a:t>
          </a:r>
          <a:r>
            <a:rPr lang="en-US" sz="1100" i="1" baseline="0">
              <a:solidFill>
                <a:schemeClr val="tx1">
                  <a:lumMod val="50000"/>
                  <a:lumOff val="50000"/>
                </a:schemeClr>
              </a:solidFill>
              <a:latin typeface="+mn-lt"/>
              <a:ea typeface="+mn-ea"/>
              <a:cs typeface="+mn-cs"/>
            </a:rPr>
            <a:t> more quickly or lower the rate for something that will last longer than 12.5 yrs (8%/yr). A rate of 0% can be used (sparingly) for machinery that is fully depreciated.</a:t>
          </a:r>
          <a:endParaRPr lang="en-US" sz="1100" i="1">
            <a:solidFill>
              <a:schemeClr val="tx1">
                <a:lumMod val="50000"/>
                <a:lumOff val="50000"/>
              </a:schemeClr>
            </a:solidFill>
            <a:latin typeface="+mn-lt"/>
            <a:ea typeface="+mn-ea"/>
            <a:cs typeface="+mn-cs"/>
          </a:endParaRPr>
        </a:p>
        <a:p>
          <a:pPr lvl="0"/>
          <a:endParaRPr lang="en-US" sz="1100" i="1">
            <a:solidFill>
              <a:schemeClr val="tx1">
                <a:lumMod val="50000"/>
                <a:lumOff val="50000"/>
              </a:schemeClr>
            </a:solidFill>
            <a:latin typeface="+mn-lt"/>
            <a:ea typeface="+mn-ea"/>
            <a:cs typeface="+mn-cs"/>
          </a:endParaRPr>
        </a:p>
        <a:p>
          <a:pPr lvl="0"/>
          <a:r>
            <a:rPr lang="en-US" sz="1100" i="1">
              <a:solidFill>
                <a:schemeClr val="tx1">
                  <a:lumMod val="50000"/>
                  <a:lumOff val="50000"/>
                </a:schemeClr>
              </a:solidFill>
              <a:latin typeface="+mn-lt"/>
              <a:ea typeface="+mn-ea"/>
              <a:cs typeface="+mn-cs"/>
            </a:rPr>
            <a:t>For assets</a:t>
          </a:r>
          <a:r>
            <a:rPr lang="en-US" sz="1100" i="1" baseline="0">
              <a:solidFill>
                <a:schemeClr val="tx1">
                  <a:lumMod val="50000"/>
                  <a:lumOff val="50000"/>
                </a:schemeClr>
              </a:solidFill>
              <a:latin typeface="+mn-lt"/>
              <a:ea typeface="+mn-ea"/>
              <a:cs typeface="+mn-cs"/>
            </a:rPr>
            <a:t> </a:t>
          </a:r>
          <a:r>
            <a:rPr lang="en-US" sz="1100" i="1">
              <a:solidFill>
                <a:schemeClr val="tx1">
                  <a:lumMod val="50000"/>
                  <a:lumOff val="50000"/>
                </a:schemeClr>
              </a:solidFill>
              <a:latin typeface="+mn-lt"/>
              <a:ea typeface="+mn-ea"/>
              <a:cs typeface="+mn-cs"/>
            </a:rPr>
            <a:t>used by multiple enterprises, the assets use will need to be considered to help you determine how to allocate the depreciation to the enterprises that use the asset. Only the enterprises indicated as par</a:t>
          </a:r>
          <a:r>
            <a:rPr lang="en-US" sz="1100" i="1" baseline="0">
              <a:solidFill>
                <a:schemeClr val="tx1">
                  <a:lumMod val="50000"/>
                  <a:lumOff val="50000"/>
                </a:schemeClr>
              </a:solidFill>
              <a:latin typeface="+mn-lt"/>
              <a:ea typeface="+mn-ea"/>
              <a:cs typeface="+mn-cs"/>
            </a:rPr>
            <a:t>t of your ranch in the "About My Ranch" tab will be visible in the tables below.</a:t>
          </a:r>
          <a:r>
            <a:rPr lang="en-US" sz="1100" i="1">
              <a:solidFill>
                <a:schemeClr val="tx1">
                  <a:lumMod val="50000"/>
                  <a:lumOff val="50000"/>
                </a:schemeClr>
              </a:solidFill>
              <a:latin typeface="+mn-lt"/>
              <a:ea typeface="+mn-ea"/>
              <a:cs typeface="+mn-cs"/>
            </a:rPr>
            <a:t> </a:t>
          </a:r>
        </a:p>
        <a:p>
          <a:pPr lvl="0"/>
          <a:endParaRPr lang="en-US" sz="1100" i="1">
            <a:solidFill>
              <a:schemeClr val="tx1">
                <a:lumMod val="50000"/>
                <a:lumOff val="50000"/>
              </a:schemeClr>
            </a:solidFill>
            <a:latin typeface="+mn-lt"/>
            <a:ea typeface="+mn-ea"/>
            <a:cs typeface="+mn-cs"/>
          </a:endParaRPr>
        </a:p>
        <a:p>
          <a:pPr lvl="0"/>
          <a:r>
            <a:rPr lang="en-US" sz="1100" i="1">
              <a:solidFill>
                <a:schemeClr val="tx1">
                  <a:lumMod val="50000"/>
                  <a:lumOff val="50000"/>
                </a:schemeClr>
              </a:solidFill>
              <a:latin typeface="+mn-lt"/>
              <a:ea typeface="+mn-ea"/>
              <a:cs typeface="+mn-cs"/>
            </a:rPr>
            <a:t>While</a:t>
          </a:r>
          <a:r>
            <a:rPr lang="en-US" sz="1100" i="1" baseline="0">
              <a:solidFill>
                <a:schemeClr val="tx1">
                  <a:lumMod val="50000"/>
                  <a:lumOff val="50000"/>
                </a:schemeClr>
              </a:solidFill>
              <a:latin typeface="+mn-lt"/>
              <a:ea typeface="+mn-ea"/>
              <a:cs typeface="+mn-cs"/>
            </a:rPr>
            <a:t> this part is time-consuming, it really only needs to be done for first year of COP calculation, in subsequent years, add/remove assets if they changed and change allocations only as needed.</a:t>
          </a:r>
        </a:p>
        <a:p>
          <a:pPr lvl="0"/>
          <a:endParaRPr lang="en-US" sz="1100" i="1">
            <a:solidFill>
              <a:schemeClr val="tx1">
                <a:lumMod val="50000"/>
                <a:lumOff val="50000"/>
              </a:schemeClr>
            </a:solidFill>
            <a:latin typeface="+mn-lt"/>
            <a:ea typeface="+mn-ea"/>
            <a:cs typeface="+mn-cs"/>
          </a:endParaRPr>
        </a:p>
        <a:p>
          <a:pPr algn="ctr"/>
          <a:r>
            <a:rPr lang="en-US" sz="1200" b="1">
              <a:solidFill>
                <a:schemeClr val="accent2">
                  <a:lumMod val="75000"/>
                </a:schemeClr>
              </a:solidFill>
            </a:rPr>
            <a:t>Assets</a:t>
          </a:r>
          <a:r>
            <a:rPr lang="en-US" sz="1200" b="1" baseline="0">
              <a:solidFill>
                <a:schemeClr val="accent2">
                  <a:lumMod val="75000"/>
                </a:schemeClr>
              </a:solidFill>
            </a:rPr>
            <a:t> that are over or under 100% Allocated to the enterprises will have the % Allocated cell shaded red.</a:t>
          </a:r>
          <a:endParaRPr lang="en-US" sz="1200" b="1">
            <a:solidFill>
              <a:schemeClr val="accent2">
                <a:lumMod val="75000"/>
              </a:schemeClr>
            </a:solidFill>
          </a:endParaRPr>
        </a:p>
      </xdr:txBody>
    </xdr:sp>
    <xdr:clientData/>
  </xdr:twoCellAnchor>
  <xdr:twoCellAnchor editAs="oneCell">
    <xdr:from>
      <xdr:col>11</xdr:col>
      <xdr:colOff>95250</xdr:colOff>
      <xdr:row>0</xdr:row>
      <xdr:rowOff>66675</xdr:rowOff>
    </xdr:from>
    <xdr:to>
      <xdr:col>14</xdr:col>
      <xdr:colOff>564092</xdr:colOff>
      <xdr:row>0</xdr:row>
      <xdr:rowOff>847627</xdr:rowOff>
    </xdr:to>
    <xdr:pic>
      <xdr:nvPicPr>
        <xdr:cNvPr id="4" name="Picture 3" descr="WESTERNBEEF_logo_RGB_sml.png"/>
        <xdr:cNvPicPr>
          <a:picLocks noChangeAspect="1"/>
        </xdr:cNvPicPr>
      </xdr:nvPicPr>
      <xdr:blipFill>
        <a:blip xmlns:r="http://schemas.openxmlformats.org/officeDocument/2006/relationships" r:embed="rId1" cstate="print"/>
        <a:stretch>
          <a:fillRect/>
        </a:stretch>
      </xdr:blipFill>
      <xdr:spPr>
        <a:xfrm>
          <a:off x="7286625" y="66675"/>
          <a:ext cx="2297642" cy="780952"/>
        </a:xfrm>
        <a:prstGeom prst="rect">
          <a:avLst/>
        </a:prstGeom>
      </xdr:spPr>
    </xdr:pic>
    <xdr:clientData/>
  </xdr:twoCellAnchor>
  <xdr:twoCellAnchor>
    <xdr:from>
      <xdr:col>1</xdr:col>
      <xdr:colOff>9525</xdr:colOff>
      <xdr:row>3</xdr:row>
      <xdr:rowOff>336542</xdr:rowOff>
    </xdr:from>
    <xdr:to>
      <xdr:col>11</xdr:col>
      <xdr:colOff>171450</xdr:colOff>
      <xdr:row>3</xdr:row>
      <xdr:rowOff>669917</xdr:rowOff>
    </xdr:to>
    <xdr:sp macro="" textlink="">
      <xdr:nvSpPr>
        <xdr:cNvPr id="5" name="TextBox 4"/>
        <xdr:cNvSpPr txBox="1"/>
      </xdr:nvSpPr>
      <xdr:spPr>
        <a:xfrm>
          <a:off x="252942" y="3278709"/>
          <a:ext cx="87344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the Powered Machinery</a:t>
          </a:r>
          <a:r>
            <a:rPr lang="en-US" sz="1600" b="1" baseline="0">
              <a:solidFill>
                <a:srgbClr val="122B4A"/>
              </a:solidFill>
            </a:rPr>
            <a:t> asset details</a:t>
          </a:r>
          <a:endParaRPr lang="en-US" sz="1600" b="1">
            <a:solidFill>
              <a:srgbClr val="122B4A"/>
            </a:solidFill>
          </a:endParaRPr>
        </a:p>
      </xdr:txBody>
    </xdr:sp>
    <xdr:clientData/>
  </xdr:twoCellAnchor>
  <xdr:twoCellAnchor>
    <xdr:from>
      <xdr:col>0</xdr:col>
      <xdr:colOff>180975</xdr:colOff>
      <xdr:row>27</xdr:row>
      <xdr:rowOff>28575</xdr:rowOff>
    </xdr:from>
    <xdr:to>
      <xdr:col>11</xdr:col>
      <xdr:colOff>104775</xdr:colOff>
      <xdr:row>29</xdr:row>
      <xdr:rowOff>19053</xdr:rowOff>
    </xdr:to>
    <xdr:sp macro="" textlink="">
      <xdr:nvSpPr>
        <xdr:cNvPr id="6" name="TextBox 5"/>
        <xdr:cNvSpPr txBox="1"/>
      </xdr:nvSpPr>
      <xdr:spPr>
        <a:xfrm>
          <a:off x="180975" y="7658100"/>
          <a:ext cx="7239000" cy="3714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2 </a:t>
          </a:r>
          <a:r>
            <a:rPr lang="en-US" sz="1600" b="1">
              <a:solidFill>
                <a:srgbClr val="56A12D"/>
              </a:solidFill>
            </a:rPr>
            <a:t>- </a:t>
          </a:r>
          <a:r>
            <a:rPr lang="en-US" sz="1600" b="1">
              <a:solidFill>
                <a:srgbClr val="122B4A"/>
              </a:solidFill>
            </a:rPr>
            <a:t>Enter the Non-Powered Machinery</a:t>
          </a:r>
          <a:r>
            <a:rPr lang="en-US" sz="1600" b="1" baseline="0">
              <a:solidFill>
                <a:srgbClr val="122B4A"/>
              </a:solidFill>
            </a:rPr>
            <a:t> asset details</a:t>
          </a:r>
          <a:endParaRPr lang="en-US" sz="1600" b="1">
            <a:solidFill>
              <a:srgbClr val="122B4A"/>
            </a:solidFill>
          </a:endParaRPr>
        </a:p>
      </xdr:txBody>
    </xdr:sp>
    <xdr:clientData/>
  </xdr:twoCellAnchor>
  <xdr:twoCellAnchor>
    <xdr:from>
      <xdr:col>1</xdr:col>
      <xdr:colOff>10583</xdr:colOff>
      <xdr:row>61</xdr:row>
      <xdr:rowOff>126996</xdr:rowOff>
    </xdr:from>
    <xdr:to>
      <xdr:col>11</xdr:col>
      <xdr:colOff>172508</xdr:colOff>
      <xdr:row>61</xdr:row>
      <xdr:rowOff>498474</xdr:rowOff>
    </xdr:to>
    <xdr:sp macro="" textlink="">
      <xdr:nvSpPr>
        <xdr:cNvPr id="7" name="TextBox 6"/>
        <xdr:cNvSpPr txBox="1"/>
      </xdr:nvSpPr>
      <xdr:spPr>
        <a:xfrm>
          <a:off x="254000" y="16330079"/>
          <a:ext cx="8734425" cy="3714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3 </a:t>
          </a:r>
          <a:r>
            <a:rPr lang="en-US" sz="1600" b="1">
              <a:solidFill>
                <a:srgbClr val="56A12D"/>
              </a:solidFill>
            </a:rPr>
            <a:t>- </a:t>
          </a:r>
          <a:r>
            <a:rPr lang="en-US" sz="1600" b="1">
              <a:solidFill>
                <a:srgbClr val="122B4A"/>
              </a:solidFill>
            </a:rPr>
            <a:t>Enter the Building,</a:t>
          </a:r>
          <a:r>
            <a:rPr lang="en-US" sz="1600" b="1" baseline="0">
              <a:solidFill>
                <a:srgbClr val="122B4A"/>
              </a:solidFill>
            </a:rPr>
            <a:t> Storage, Fence &amp; Livestock Equipment asset details</a:t>
          </a:r>
          <a:endParaRPr lang="en-US" sz="1600" b="1">
            <a:solidFill>
              <a:srgbClr val="122B4A"/>
            </a:solidFill>
          </a:endParaRPr>
        </a:p>
      </xdr:txBody>
    </xdr:sp>
    <xdr:clientData/>
  </xdr:twoCellAnchor>
  <xdr:twoCellAnchor>
    <xdr:from>
      <xdr:col>1</xdr:col>
      <xdr:colOff>201085</xdr:colOff>
      <xdr:row>87</xdr:row>
      <xdr:rowOff>74081</xdr:rowOff>
    </xdr:from>
    <xdr:to>
      <xdr:col>15</xdr:col>
      <xdr:colOff>165102</xdr:colOff>
      <xdr:row>89</xdr:row>
      <xdr:rowOff>121706</xdr:rowOff>
    </xdr:to>
    <xdr:sp macro="" textlink="">
      <xdr:nvSpPr>
        <xdr:cNvPr id="8" name="TextBox 7"/>
        <xdr:cNvSpPr txBox="1"/>
      </xdr:nvSpPr>
      <xdr:spPr>
        <a:xfrm>
          <a:off x="444502" y="21960414"/>
          <a:ext cx="1099185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a:solidFill>
                <a:srgbClr val="56A12D"/>
              </a:solidFill>
            </a:rPr>
            <a:t>YOU HAVE NOW ENTERED ALL YOUR ASSET DETAILS </a:t>
          </a:r>
          <a:r>
            <a:rPr lang="en-US" sz="1800" b="1" baseline="0">
              <a:solidFill>
                <a:srgbClr val="56A12D"/>
              </a:solidFill>
            </a:rPr>
            <a:t>FOR DEPRECIATION CALCULATION!</a:t>
          </a:r>
          <a:endParaRPr lang="en-US" sz="1600" b="1">
            <a:solidFill>
              <a:srgbClr val="122B4A"/>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962025</xdr:colOff>
      <xdr:row>0</xdr:row>
      <xdr:rowOff>123825</xdr:rowOff>
    </xdr:from>
    <xdr:to>
      <xdr:col>11</xdr:col>
      <xdr:colOff>164042</xdr:colOff>
      <xdr:row>1</xdr:row>
      <xdr:rowOff>95152</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781550" y="123825"/>
          <a:ext cx="2297642" cy="780952"/>
        </a:xfrm>
        <a:prstGeom prst="rect">
          <a:avLst/>
        </a:prstGeom>
      </xdr:spPr>
    </xdr:pic>
    <xdr:clientData/>
  </xdr:twoCellAnchor>
  <xdr:twoCellAnchor>
    <xdr:from>
      <xdr:col>1</xdr:col>
      <xdr:colOff>38099</xdr:colOff>
      <xdr:row>26</xdr:row>
      <xdr:rowOff>28575</xdr:rowOff>
    </xdr:from>
    <xdr:to>
      <xdr:col>12</xdr:col>
      <xdr:colOff>600074</xdr:colOff>
      <xdr:row>33</xdr:row>
      <xdr:rowOff>161925</xdr:rowOff>
    </xdr:to>
    <xdr:sp macro="" textlink="">
      <xdr:nvSpPr>
        <xdr:cNvPr id="9" name="TextBox 8"/>
        <xdr:cNvSpPr txBox="1"/>
      </xdr:nvSpPr>
      <xdr:spPr>
        <a:xfrm>
          <a:off x="333374" y="6172200"/>
          <a:ext cx="8143875"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a:solidFill>
                <a:schemeClr val="tx1">
                  <a:lumMod val="50000"/>
                  <a:lumOff val="50000"/>
                </a:schemeClr>
              </a:solidFill>
              <a:latin typeface="+mn-lt"/>
              <a:ea typeface="+mn-ea"/>
              <a:cs typeface="+mn-cs"/>
            </a:rPr>
            <a:t>We tend to focus on pregnancy rate, but calving distribution is deemed just as, if not more, important. "</a:t>
          </a:r>
          <a:r>
            <a:rPr lang="en-US">
              <a:solidFill>
                <a:schemeClr val="tx1">
                  <a:lumMod val="50000"/>
                  <a:lumOff val="50000"/>
                </a:schemeClr>
              </a:solidFill>
            </a:rPr>
            <a:t>In most herds, the exact breeding date for each cow is unknown unless we are using artificial insemination. The only reproductive event that is easy to track is the cow’s calving date ." (Source: Dr.</a:t>
          </a:r>
          <a:r>
            <a:rPr lang="en-US" baseline="0">
              <a:solidFill>
                <a:schemeClr val="tx1">
                  <a:lumMod val="50000"/>
                  <a:lumOff val="50000"/>
                </a:schemeClr>
              </a:solidFill>
            </a:rPr>
            <a:t> John Campbell, WCVM)</a:t>
          </a:r>
          <a:r>
            <a:rPr lang="en-US" sz="1100" baseline="0">
              <a:solidFill>
                <a:schemeClr val="tx1">
                  <a:lumMod val="50000"/>
                  <a:lumOff val="50000"/>
                </a:schemeClr>
              </a:solidFill>
            </a:rPr>
            <a:t> Cows tend to calve at the same point in the calving season each year, and ideally you want to  "front load" the breeding season so that 60-70% of your cows calve in the first 21 d of the calving season in order to have a long enough post partum interval (aka rest) to be able to be cycling again before the start of the next breeding season.</a:t>
          </a:r>
        </a:p>
        <a:p>
          <a:endParaRPr lang="en-US" sz="1100" baseline="0">
            <a:solidFill>
              <a:schemeClr val="tx1">
                <a:lumMod val="50000"/>
                <a:lumOff val="50000"/>
              </a:schemeClr>
            </a:solidFill>
          </a:endParaRPr>
        </a:p>
        <a:p>
          <a:r>
            <a:rPr lang="en-US" sz="1100">
              <a:solidFill>
                <a:schemeClr val="tx1">
                  <a:lumMod val="50000"/>
                  <a:lumOff val="50000"/>
                </a:schemeClr>
              </a:solidFill>
            </a:rPr>
            <a:t>Fill in the table below to generate</a:t>
          </a:r>
          <a:r>
            <a:rPr lang="en-US" sz="1100" baseline="0">
              <a:solidFill>
                <a:schemeClr val="tx1">
                  <a:lumMod val="50000"/>
                  <a:lumOff val="50000"/>
                </a:schemeClr>
              </a:solidFill>
            </a:rPr>
            <a:t> </a:t>
          </a:r>
          <a:r>
            <a:rPr lang="en-US" sz="1100">
              <a:solidFill>
                <a:schemeClr val="tx1">
                  <a:lumMod val="50000"/>
                  <a:lumOff val="50000"/>
                </a:schemeClr>
              </a:solidFill>
            </a:rPr>
            <a:t>your calving distribution chart</a:t>
          </a:r>
          <a:r>
            <a:rPr lang="en-US" sz="1100" baseline="0">
              <a:solidFill>
                <a:schemeClr val="tx1">
                  <a:lumMod val="50000"/>
                  <a:lumOff val="50000"/>
                </a:schemeClr>
              </a:solidFill>
            </a:rPr>
            <a:t>.</a:t>
          </a:r>
          <a:endParaRPr lang="en-US" sz="1100">
            <a:solidFill>
              <a:schemeClr val="tx1">
                <a:lumMod val="50000"/>
                <a:lumOff val="50000"/>
              </a:schemeClr>
            </a:solidFill>
          </a:endParaRPr>
        </a:p>
      </xdr:txBody>
    </xdr:sp>
    <xdr:clientData/>
  </xdr:twoCellAnchor>
  <xdr:twoCellAnchor>
    <xdr:from>
      <xdr:col>4</xdr:col>
      <xdr:colOff>152400</xdr:colOff>
      <xdr:row>50</xdr:row>
      <xdr:rowOff>85725</xdr:rowOff>
    </xdr:from>
    <xdr:to>
      <xdr:col>10</xdr:col>
      <xdr:colOff>247650</xdr:colOff>
      <xdr:row>64</xdr:row>
      <xdr:rowOff>161925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447675</xdr:colOff>
      <xdr:row>0</xdr:row>
      <xdr:rowOff>76200</xdr:rowOff>
    </xdr:from>
    <xdr:to>
      <xdr:col>10</xdr:col>
      <xdr:colOff>362279</xdr:colOff>
      <xdr:row>0</xdr:row>
      <xdr:rowOff>821859</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695825" y="76200"/>
          <a:ext cx="2200604" cy="745659"/>
        </a:xfrm>
        <a:prstGeom prst="rect">
          <a:avLst/>
        </a:prstGeom>
      </xdr:spPr>
    </xdr:pic>
    <xdr:clientData/>
  </xdr:twoCellAnchor>
  <xdr:twoCellAnchor>
    <xdr:from>
      <xdr:col>11</xdr:col>
      <xdr:colOff>600075</xdr:colOff>
      <xdr:row>0</xdr:row>
      <xdr:rowOff>66675</xdr:rowOff>
    </xdr:from>
    <xdr:to>
      <xdr:col>19</xdr:col>
      <xdr:colOff>200025</xdr:colOff>
      <xdr:row>2</xdr:row>
      <xdr:rowOff>171450</xdr:rowOff>
    </xdr:to>
    <xdr:sp macro="" textlink="">
      <xdr:nvSpPr>
        <xdr:cNvPr id="3" name="TextBox 2"/>
        <xdr:cNvSpPr txBox="1"/>
      </xdr:nvSpPr>
      <xdr:spPr>
        <a:xfrm>
          <a:off x="7743825" y="66675"/>
          <a:ext cx="44767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baseline="0">
              <a:solidFill>
                <a:srgbClr val="FF0000"/>
              </a:solidFill>
              <a:latin typeface="+mn-lt"/>
              <a:ea typeface="+mn-ea"/>
              <a:cs typeface="+mn-cs"/>
            </a:rPr>
            <a:t>TIP: </a:t>
          </a:r>
          <a:r>
            <a:rPr lang="en-US" sz="1100" baseline="0">
              <a:solidFill>
                <a:schemeClr val="tx1">
                  <a:lumMod val="75000"/>
                  <a:lumOff val="25000"/>
                </a:schemeClr>
              </a:solidFill>
              <a:latin typeface="+mn-lt"/>
              <a:ea typeface="+mn-ea"/>
              <a:cs typeface="+mn-cs"/>
            </a:rPr>
            <a:t>There are a series of formulas and linked cells to generate this COP Analysis - this report has been protected to avoid changing the layout.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lumMod val="75000"/>
                <a:lumOff val="25000"/>
              </a:schemeClr>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lumMod val="75000"/>
                  <a:lumOff val="25000"/>
                </a:schemeClr>
              </a:solidFill>
              <a:latin typeface="+mn-lt"/>
              <a:ea typeface="+mn-ea"/>
              <a:cs typeface="+mn-cs"/>
            </a:rPr>
            <a:t>The COP will not be accurate/complete until all of the data in Tabs 1 through 12 has been entered.</a:t>
          </a:r>
          <a:endParaRPr lang="en-US">
            <a:solidFill>
              <a:schemeClr val="tx1">
                <a:lumMod val="75000"/>
                <a:lumOff val="25000"/>
              </a:schemeClr>
            </a:solidFill>
          </a:endParaRPr>
        </a:p>
        <a:p>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38100</xdr:colOff>
      <xdr:row>0</xdr:row>
      <xdr:rowOff>38101</xdr:rowOff>
    </xdr:from>
    <xdr:to>
      <xdr:col>9</xdr:col>
      <xdr:colOff>447675</xdr:colOff>
      <xdr:row>0</xdr:row>
      <xdr:rowOff>732009</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248150" y="38101"/>
          <a:ext cx="2047875" cy="693908"/>
        </a:xfrm>
        <a:prstGeom prst="rect">
          <a:avLst/>
        </a:prstGeom>
      </xdr:spPr>
    </xdr:pic>
    <xdr:clientData/>
  </xdr:twoCellAnchor>
  <xdr:twoCellAnchor>
    <xdr:from>
      <xdr:col>12</xdr:col>
      <xdr:colOff>0</xdr:colOff>
      <xdr:row>0</xdr:row>
      <xdr:rowOff>19049</xdr:rowOff>
    </xdr:from>
    <xdr:to>
      <xdr:col>19</xdr:col>
      <xdr:colOff>209550</xdr:colOff>
      <xdr:row>4</xdr:row>
      <xdr:rowOff>9524</xdr:rowOff>
    </xdr:to>
    <xdr:sp macro="" textlink="">
      <xdr:nvSpPr>
        <xdr:cNvPr id="4" name="TextBox 3"/>
        <xdr:cNvSpPr txBox="1"/>
      </xdr:nvSpPr>
      <xdr:spPr>
        <a:xfrm>
          <a:off x="7677150" y="19049"/>
          <a:ext cx="447675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baseline="0">
              <a:solidFill>
                <a:srgbClr val="FF0000"/>
              </a:solidFill>
              <a:latin typeface="+mn-lt"/>
              <a:ea typeface="+mn-ea"/>
              <a:cs typeface="+mn-cs"/>
            </a:rPr>
            <a:t>TIP: </a:t>
          </a:r>
          <a:r>
            <a:rPr lang="en-US" sz="1100" baseline="0">
              <a:solidFill>
                <a:schemeClr val="tx1">
                  <a:lumMod val="75000"/>
                  <a:lumOff val="25000"/>
                </a:schemeClr>
              </a:solidFill>
              <a:latin typeface="+mn-lt"/>
              <a:ea typeface="+mn-ea"/>
              <a:cs typeface="+mn-cs"/>
            </a:rPr>
            <a:t>There are a series of formulas and linked cells to generate this COP Analysis - this report has been protected to avoid changing the layout.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lumMod val="75000"/>
                <a:lumOff val="25000"/>
              </a:schemeClr>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lumMod val="75000"/>
                  <a:lumOff val="25000"/>
                </a:schemeClr>
              </a:solidFill>
              <a:latin typeface="+mn-lt"/>
              <a:ea typeface="+mn-ea"/>
              <a:cs typeface="+mn-cs"/>
            </a:rPr>
            <a:t>Information needs to be entered into tab "2.Replacement_InputForm" in order for this COP Summary to populate.</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lumMod val="75000"/>
                <a:lumOff val="25000"/>
              </a:schemeClr>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lumMod val="75000"/>
                  <a:lumOff val="25000"/>
                </a:schemeClr>
              </a:solidFill>
              <a:latin typeface="+mn-lt"/>
              <a:ea typeface="+mn-ea"/>
              <a:cs typeface="+mn-cs"/>
            </a:rPr>
            <a:t>The COP summaries will not be accurate/complete until all of the data in Tabs 1 through 12 has been entered.</a:t>
          </a:r>
          <a:endParaRPr lang="en-US">
            <a:solidFill>
              <a:schemeClr val="tx1">
                <a:lumMod val="75000"/>
                <a:lumOff val="25000"/>
              </a:schemeClr>
            </a:solidFill>
          </a:endParaRPr>
        </a:p>
        <a:p>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38100</xdr:colOff>
      <xdr:row>0</xdr:row>
      <xdr:rowOff>38101</xdr:rowOff>
    </xdr:from>
    <xdr:to>
      <xdr:col>9</xdr:col>
      <xdr:colOff>447675</xdr:colOff>
      <xdr:row>0</xdr:row>
      <xdr:rowOff>732009</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429125" y="38101"/>
          <a:ext cx="2047875" cy="693908"/>
        </a:xfrm>
        <a:prstGeom prst="rect">
          <a:avLst/>
        </a:prstGeom>
      </xdr:spPr>
    </xdr:pic>
    <xdr:clientData/>
  </xdr:twoCellAnchor>
  <xdr:twoCellAnchor>
    <xdr:from>
      <xdr:col>12</xdr:col>
      <xdr:colOff>0</xdr:colOff>
      <xdr:row>0</xdr:row>
      <xdr:rowOff>19049</xdr:rowOff>
    </xdr:from>
    <xdr:to>
      <xdr:col>19</xdr:col>
      <xdr:colOff>209550</xdr:colOff>
      <xdr:row>4</xdr:row>
      <xdr:rowOff>142875</xdr:rowOff>
    </xdr:to>
    <xdr:sp macro="" textlink="">
      <xdr:nvSpPr>
        <xdr:cNvPr id="3" name="TextBox 2"/>
        <xdr:cNvSpPr txBox="1"/>
      </xdr:nvSpPr>
      <xdr:spPr>
        <a:xfrm>
          <a:off x="7858125" y="19049"/>
          <a:ext cx="4476750" cy="1666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baseline="0">
              <a:solidFill>
                <a:srgbClr val="FF0000"/>
              </a:solidFill>
              <a:latin typeface="+mn-lt"/>
              <a:ea typeface="+mn-ea"/>
              <a:cs typeface="+mn-cs"/>
            </a:rPr>
            <a:t>TIP: </a:t>
          </a:r>
          <a:r>
            <a:rPr lang="en-US" sz="1100" baseline="0">
              <a:solidFill>
                <a:schemeClr val="tx1">
                  <a:lumMod val="75000"/>
                  <a:lumOff val="25000"/>
                </a:schemeClr>
              </a:solidFill>
              <a:latin typeface="+mn-lt"/>
              <a:ea typeface="+mn-ea"/>
              <a:cs typeface="+mn-cs"/>
            </a:rPr>
            <a:t>There are a series of formulas and linked cells to generate this COP Analysis - this report has been protected to avoid changing the layout.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lumMod val="75000"/>
                <a:lumOff val="25000"/>
              </a:schemeClr>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lumMod val="75000"/>
                  <a:lumOff val="25000"/>
                </a:schemeClr>
              </a:solidFill>
              <a:latin typeface="+mn-lt"/>
              <a:ea typeface="+mn-ea"/>
              <a:cs typeface="+mn-cs"/>
            </a:rPr>
            <a:t>Information needs to be entered into tab "2b.HomeRaisedBulls_InputForm" in order for this COP Summary to populate.</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lumMod val="75000"/>
                <a:lumOff val="25000"/>
              </a:schemeClr>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lumMod val="75000"/>
                  <a:lumOff val="25000"/>
                </a:schemeClr>
              </a:solidFill>
              <a:latin typeface="+mn-lt"/>
              <a:ea typeface="+mn-ea"/>
              <a:cs typeface="+mn-cs"/>
            </a:rPr>
            <a:t>The COP summaries will not be accurate/complete until all of the data in Tabs 1 through 12 has been entered.</a:t>
          </a:r>
          <a:endParaRPr lang="en-US">
            <a:solidFill>
              <a:schemeClr val="tx1">
                <a:lumMod val="75000"/>
                <a:lumOff val="25000"/>
              </a:schemeClr>
            </a:solidFill>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723900</xdr:colOff>
      <xdr:row>2</xdr:row>
      <xdr:rowOff>161926</xdr:rowOff>
    </xdr:from>
    <xdr:to>
      <xdr:col>11</xdr:col>
      <xdr:colOff>533400</xdr:colOff>
      <xdr:row>13</xdr:row>
      <xdr:rowOff>38101</xdr:rowOff>
    </xdr:to>
    <xdr:sp macro="" textlink="">
      <xdr:nvSpPr>
        <xdr:cNvPr id="2" name="TextBox 1"/>
        <xdr:cNvSpPr txBox="1"/>
      </xdr:nvSpPr>
      <xdr:spPr>
        <a:xfrm>
          <a:off x="2571750" y="1057276"/>
          <a:ext cx="4210050" cy="1847850"/>
        </a:xfrm>
        <a:prstGeom prst="rect">
          <a:avLst/>
        </a:prstGeom>
        <a:solidFill>
          <a:schemeClr val="lt1"/>
        </a:solidFill>
        <a:ln w="19050" cmpd="sng">
          <a:solidFill>
            <a:srgbClr val="122B4A"/>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rgbClr val="122B4A"/>
              </a:solidFill>
            </a:rPr>
            <a:t>What is an ENTERPRISE?</a:t>
          </a:r>
        </a:p>
        <a:p>
          <a:endParaRPr lang="en-US" sz="1100" b="1">
            <a:solidFill>
              <a:srgbClr val="122B4A"/>
            </a:solidFill>
          </a:endParaRPr>
        </a:p>
        <a:p>
          <a:r>
            <a:rPr lang="en-US" sz="1050"/>
            <a:t>A ranch is typically made up of several</a:t>
          </a:r>
          <a:r>
            <a:rPr lang="en-US" sz="1050" baseline="0"/>
            <a:t> business lines or enterprises. A cow-calf operation that also: 1) makes its own hay; 2) owns pasture for its livestock to graze; 3) retains calves for backgrounding, and; 4) raises its own replacement heifers essentially has five business lines or enterprises. </a:t>
          </a:r>
        </a:p>
        <a:p>
          <a:endParaRPr lang="en-US" sz="1050" baseline="0"/>
        </a:p>
        <a:p>
          <a:r>
            <a:rPr lang="en-US" sz="1050" baseline="0"/>
            <a:t>Each enterprise has its own cost of production. It is ideal to do the analysis for each enterprise in order to find out which parts of the ranch are making money and which parts of the ranch are losing money.</a:t>
          </a:r>
          <a:endParaRPr lang="en-US" sz="1050"/>
        </a:p>
      </xdr:txBody>
    </xdr:sp>
    <xdr:clientData/>
  </xdr:twoCellAnchor>
  <xdr:twoCellAnchor editAs="oneCell">
    <xdr:from>
      <xdr:col>8</xdr:col>
      <xdr:colOff>152400</xdr:colOff>
      <xdr:row>0</xdr:row>
      <xdr:rowOff>104775</xdr:rowOff>
    </xdr:from>
    <xdr:to>
      <xdr:col>11</xdr:col>
      <xdr:colOff>524204</xdr:colOff>
      <xdr:row>1</xdr:row>
      <xdr:rowOff>193209</xdr:rowOff>
    </xdr:to>
    <xdr:pic>
      <xdr:nvPicPr>
        <xdr:cNvPr id="3" name="Picture 2" descr="WESTERNBEEF_logo_RGB_sml.png"/>
        <xdr:cNvPicPr>
          <a:picLocks noChangeAspect="1"/>
        </xdr:cNvPicPr>
      </xdr:nvPicPr>
      <xdr:blipFill>
        <a:blip xmlns:r="http://schemas.openxmlformats.org/officeDocument/2006/relationships" r:embed="rId1" cstate="print"/>
        <a:stretch>
          <a:fillRect/>
        </a:stretch>
      </xdr:blipFill>
      <xdr:spPr>
        <a:xfrm>
          <a:off x="4419600" y="104775"/>
          <a:ext cx="2200604" cy="745659"/>
        </a:xfrm>
        <a:prstGeom prst="rect">
          <a:avLst/>
        </a:prstGeom>
      </xdr:spPr>
    </xdr:pic>
    <xdr:clientData/>
  </xdr:twoCellAnchor>
  <xdr:twoCellAnchor>
    <xdr:from>
      <xdr:col>6</xdr:col>
      <xdr:colOff>85725</xdr:colOff>
      <xdr:row>17</xdr:row>
      <xdr:rowOff>323850</xdr:rowOff>
    </xdr:from>
    <xdr:to>
      <xdr:col>12</xdr:col>
      <xdr:colOff>0</xdr:colOff>
      <xdr:row>22</xdr:row>
      <xdr:rowOff>152399</xdr:rowOff>
    </xdr:to>
    <xdr:sp macro="" textlink="">
      <xdr:nvSpPr>
        <xdr:cNvPr id="4" name="TextBox 3"/>
        <xdr:cNvSpPr txBox="1"/>
      </xdr:nvSpPr>
      <xdr:spPr>
        <a:xfrm>
          <a:off x="4010025" y="3971925"/>
          <a:ext cx="3571875" cy="1123949"/>
        </a:xfrm>
        <a:prstGeom prst="rect">
          <a:avLst/>
        </a:prstGeom>
        <a:solidFill>
          <a:schemeClr val="lt1"/>
        </a:solidFill>
        <a:ln w="19050" cmpd="sng">
          <a:solidFill>
            <a:srgbClr val="122B4A"/>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rgbClr val="122B4A"/>
              </a:solidFill>
            </a:rPr>
            <a:t>Why do I have to specify the year?</a:t>
          </a:r>
        </a:p>
        <a:p>
          <a:endParaRPr lang="en-US" sz="1100" b="1">
            <a:solidFill>
              <a:srgbClr val="122B4A"/>
            </a:solidFill>
          </a:endParaRPr>
        </a:p>
        <a:p>
          <a:r>
            <a:rPr lang="en-US" sz="1050"/>
            <a:t>Throughout</a:t>
          </a:r>
          <a:r>
            <a:rPr lang="en-US" sz="1050" baseline="0"/>
            <a:t> this Excel tool, dates are used as a way of guiding your input. The dates are based off of what year you enter in the box to the left. The year should be the year of birth for the calf crop you are calculating cost of production for.</a:t>
          </a:r>
          <a:endParaRPr lang="en-US" sz="105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533400</xdr:colOff>
      <xdr:row>0</xdr:row>
      <xdr:rowOff>104775</xdr:rowOff>
    </xdr:from>
    <xdr:to>
      <xdr:col>10</xdr:col>
      <xdr:colOff>333375</xdr:colOff>
      <xdr:row>0</xdr:row>
      <xdr:rowOff>798683</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791075" y="104775"/>
          <a:ext cx="2047875" cy="693908"/>
        </a:xfrm>
        <a:prstGeom prst="rect">
          <a:avLst/>
        </a:prstGeom>
      </xdr:spPr>
    </xdr:pic>
    <xdr:clientData/>
  </xdr:twoCellAnchor>
  <xdr:twoCellAnchor>
    <xdr:from>
      <xdr:col>12</xdr:col>
      <xdr:colOff>104775</xdr:colOff>
      <xdr:row>0</xdr:row>
      <xdr:rowOff>190500</xdr:rowOff>
    </xdr:from>
    <xdr:to>
      <xdr:col>19</xdr:col>
      <xdr:colOff>314325</xdr:colOff>
      <xdr:row>3</xdr:row>
      <xdr:rowOff>9525</xdr:rowOff>
    </xdr:to>
    <xdr:sp macro="" textlink="">
      <xdr:nvSpPr>
        <xdr:cNvPr id="3" name="TextBox 2"/>
        <xdr:cNvSpPr txBox="1"/>
      </xdr:nvSpPr>
      <xdr:spPr>
        <a:xfrm>
          <a:off x="7829550" y="190500"/>
          <a:ext cx="44767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baseline="0">
              <a:solidFill>
                <a:srgbClr val="FF0000"/>
              </a:solidFill>
              <a:latin typeface="+mn-lt"/>
              <a:ea typeface="+mn-ea"/>
              <a:cs typeface="+mn-cs"/>
            </a:rPr>
            <a:t>TIP: </a:t>
          </a:r>
          <a:r>
            <a:rPr lang="en-US" sz="1100" baseline="0">
              <a:solidFill>
                <a:schemeClr val="tx1">
                  <a:lumMod val="75000"/>
                  <a:lumOff val="25000"/>
                </a:schemeClr>
              </a:solidFill>
              <a:latin typeface="+mn-lt"/>
              <a:ea typeface="+mn-ea"/>
              <a:cs typeface="+mn-cs"/>
            </a:rPr>
            <a:t>There are a series of formulas and linked cells to generate this COP Analysis - this report has been protected to avoid changing the layout.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lumMod val="75000"/>
                <a:lumOff val="25000"/>
              </a:schemeClr>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lumMod val="75000"/>
                  <a:lumOff val="25000"/>
                </a:schemeClr>
              </a:solidFill>
              <a:latin typeface="+mn-lt"/>
              <a:ea typeface="+mn-ea"/>
              <a:cs typeface="+mn-cs"/>
            </a:rPr>
            <a:t>The COP will not be accurate/complete until all of the data in Tabs 1 through 12 has been entered.</a:t>
          </a:r>
          <a:endParaRPr lang="en-US">
            <a:solidFill>
              <a:schemeClr val="tx1">
                <a:lumMod val="75000"/>
                <a:lumOff val="25000"/>
              </a:schemeClr>
            </a:solidFill>
          </a:endParaRPr>
        </a:p>
        <a:p>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638175</xdr:colOff>
      <xdr:row>0</xdr:row>
      <xdr:rowOff>114300</xdr:rowOff>
    </xdr:from>
    <xdr:to>
      <xdr:col>8</xdr:col>
      <xdr:colOff>819150</xdr:colOff>
      <xdr:row>0</xdr:row>
      <xdr:rowOff>771525</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067175" y="114300"/>
          <a:ext cx="1743075" cy="6572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638175</xdr:colOff>
      <xdr:row>0</xdr:row>
      <xdr:rowOff>114300</xdr:rowOff>
    </xdr:from>
    <xdr:to>
      <xdr:col>9</xdr:col>
      <xdr:colOff>85725</xdr:colOff>
      <xdr:row>0</xdr:row>
      <xdr:rowOff>771525</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067175" y="114300"/>
          <a:ext cx="1743075" cy="6572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561975</xdr:colOff>
      <xdr:row>0</xdr:row>
      <xdr:rowOff>57150</xdr:rowOff>
    </xdr:from>
    <xdr:to>
      <xdr:col>7</xdr:col>
      <xdr:colOff>552450</xdr:colOff>
      <xdr:row>0</xdr:row>
      <xdr:rowOff>750289</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410075" y="57150"/>
          <a:ext cx="1838325" cy="69313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333375</xdr:colOff>
      <xdr:row>0</xdr:row>
      <xdr:rowOff>164111</xdr:rowOff>
    </xdr:from>
    <xdr:to>
      <xdr:col>9</xdr:col>
      <xdr:colOff>476250</xdr:colOff>
      <xdr:row>0</xdr:row>
      <xdr:rowOff>857250</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5267325" y="164111"/>
          <a:ext cx="1838325" cy="69313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114300</xdr:colOff>
      <xdr:row>0</xdr:row>
      <xdr:rowOff>116485</xdr:rowOff>
    </xdr:from>
    <xdr:to>
      <xdr:col>9</xdr:col>
      <xdr:colOff>514349</xdr:colOff>
      <xdr:row>1</xdr:row>
      <xdr:rowOff>9525</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962525" y="116485"/>
          <a:ext cx="2095499" cy="78839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266700</xdr:colOff>
      <xdr:row>0</xdr:row>
      <xdr:rowOff>87910</xdr:rowOff>
    </xdr:from>
    <xdr:to>
      <xdr:col>11</xdr:col>
      <xdr:colOff>342900</xdr:colOff>
      <xdr:row>0</xdr:row>
      <xdr:rowOff>742949</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829175" y="87910"/>
          <a:ext cx="1914525" cy="655039"/>
        </a:xfrm>
        <a:prstGeom prst="rect">
          <a:avLst/>
        </a:prstGeom>
      </xdr:spPr>
    </xdr:pic>
    <xdr:clientData/>
  </xdr:twoCellAnchor>
  <xdr:twoCellAnchor>
    <xdr:from>
      <xdr:col>1</xdr:col>
      <xdr:colOff>47625</xdr:colOff>
      <xdr:row>19</xdr:row>
      <xdr:rowOff>19050</xdr:rowOff>
    </xdr:from>
    <xdr:to>
      <xdr:col>10</xdr:col>
      <xdr:colOff>552450</xdr:colOff>
      <xdr:row>40</xdr:row>
      <xdr:rowOff>47625</xdr:rowOff>
    </xdr:to>
    <xdr:sp macro="" textlink="">
      <xdr:nvSpPr>
        <xdr:cNvPr id="3" name="TextBox 2"/>
        <xdr:cNvSpPr txBox="1"/>
      </xdr:nvSpPr>
      <xdr:spPr>
        <a:xfrm>
          <a:off x="342900" y="5153025"/>
          <a:ext cx="8210550" cy="402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rgbClr val="122B4A"/>
              </a:solidFill>
            </a:rPr>
            <a:t>HELPFUL</a:t>
          </a:r>
          <a:r>
            <a:rPr lang="en-US" sz="1200" b="1" baseline="0">
              <a:solidFill>
                <a:srgbClr val="122B4A"/>
              </a:solidFill>
            </a:rPr>
            <a:t> HINTS</a:t>
          </a:r>
        </a:p>
        <a:p>
          <a:endParaRPr lang="en-US" sz="1100" baseline="0"/>
        </a:p>
        <a:p>
          <a:r>
            <a:rPr lang="en-US" sz="1100" baseline="0" smtClean="0">
              <a:solidFill>
                <a:schemeClr val="tx1">
                  <a:lumMod val="75000"/>
                  <a:lumOff val="25000"/>
                </a:schemeClr>
              </a:solidFill>
              <a:latin typeface="+mn-lt"/>
              <a:ea typeface="+mn-ea"/>
              <a:cs typeface="+mn-cs"/>
            </a:rPr>
            <a:t>The Winners &amp; Losers Report is the enterprise analysis summary. It lists each enterprise with its corresponding Cash Revenue, Cash</a:t>
          </a:r>
        </a:p>
        <a:p>
          <a:r>
            <a:rPr lang="en-US" sz="1100" baseline="0" smtClean="0">
              <a:solidFill>
                <a:schemeClr val="tx1">
                  <a:lumMod val="75000"/>
                  <a:lumOff val="25000"/>
                </a:schemeClr>
              </a:solidFill>
              <a:latin typeface="+mn-lt"/>
              <a:ea typeface="+mn-ea"/>
              <a:cs typeface="+mn-cs"/>
            </a:rPr>
            <a:t>Expenses, Total Revenue, Total Expenses, Cash Income, Contribution Margin and Return to Equity. </a:t>
          </a:r>
        </a:p>
        <a:p>
          <a:endParaRPr lang="en-US" sz="1100" baseline="0" smtClean="0">
            <a:solidFill>
              <a:schemeClr val="tx1">
                <a:lumMod val="75000"/>
                <a:lumOff val="25000"/>
              </a:schemeClr>
            </a:solidFill>
            <a:latin typeface="+mn-lt"/>
            <a:ea typeface="+mn-ea"/>
            <a:cs typeface="+mn-cs"/>
          </a:endParaRPr>
        </a:p>
        <a:p>
          <a:r>
            <a:rPr lang="en-US" sz="1100" b="1" baseline="0" smtClean="0">
              <a:solidFill>
                <a:schemeClr val="tx1">
                  <a:lumMod val="75000"/>
                  <a:lumOff val="25000"/>
                </a:schemeClr>
              </a:solidFill>
              <a:latin typeface="+mn-lt"/>
              <a:ea typeface="+mn-ea"/>
              <a:cs typeface="+mn-cs"/>
            </a:rPr>
            <a:t>Return to Equity </a:t>
          </a:r>
          <a:r>
            <a:rPr lang="en-US" sz="1100" baseline="0" smtClean="0">
              <a:solidFill>
                <a:schemeClr val="tx1">
                  <a:lumMod val="75000"/>
                  <a:lumOff val="25000"/>
                </a:schemeClr>
              </a:solidFill>
              <a:latin typeface="+mn-lt"/>
              <a:ea typeface="+mn-ea"/>
              <a:cs typeface="+mn-cs"/>
            </a:rPr>
            <a:t>(Total Revenues - Total Expenses) shows which enterprises are profitable and which are not. </a:t>
          </a:r>
        </a:p>
        <a:p>
          <a:endParaRPr lang="en-US" sz="1100" baseline="0" smtClean="0">
            <a:solidFill>
              <a:schemeClr val="tx1">
                <a:lumMod val="75000"/>
                <a:lumOff val="25000"/>
              </a:schemeClr>
            </a:solidFill>
            <a:latin typeface="+mn-lt"/>
            <a:ea typeface="+mn-ea"/>
            <a:cs typeface="+mn-cs"/>
          </a:endParaRPr>
        </a:p>
        <a:p>
          <a:r>
            <a:rPr lang="en-US" sz="1100" b="1" baseline="0" smtClean="0">
              <a:solidFill>
                <a:schemeClr val="tx1">
                  <a:lumMod val="75000"/>
                  <a:lumOff val="25000"/>
                </a:schemeClr>
              </a:solidFill>
              <a:latin typeface="+mn-lt"/>
              <a:ea typeface="+mn-ea"/>
              <a:cs typeface="+mn-cs"/>
            </a:rPr>
            <a:t>Cash Income  </a:t>
          </a:r>
          <a:r>
            <a:rPr lang="en-US" sz="1100" b="0" baseline="0" smtClean="0">
              <a:solidFill>
                <a:schemeClr val="tx1">
                  <a:lumMod val="75000"/>
                  <a:lumOff val="25000"/>
                </a:schemeClr>
              </a:solidFill>
              <a:latin typeface="+mn-lt"/>
              <a:ea typeface="+mn-ea"/>
              <a:cs typeface="+mn-cs"/>
            </a:rPr>
            <a:t>(Cash Revenue - Cash Expenses) </a:t>
          </a:r>
          <a:r>
            <a:rPr lang="en-US" sz="1100" baseline="0" smtClean="0">
              <a:solidFill>
                <a:schemeClr val="tx1">
                  <a:lumMod val="75000"/>
                  <a:lumOff val="25000"/>
                </a:schemeClr>
              </a:solidFill>
              <a:latin typeface="+mn-lt"/>
              <a:ea typeface="+mn-ea"/>
              <a:cs typeface="+mn-cs"/>
            </a:rPr>
            <a:t>shows which enterprises are cash deficient and which are cash surplus. </a:t>
          </a:r>
        </a:p>
        <a:p>
          <a:endParaRPr lang="en-US" sz="1100" baseline="0" smtClean="0">
            <a:solidFill>
              <a:schemeClr val="tx1">
                <a:lumMod val="75000"/>
                <a:lumOff val="25000"/>
              </a:schemeClr>
            </a:solidFill>
            <a:latin typeface="+mn-lt"/>
            <a:ea typeface="+mn-ea"/>
            <a:cs typeface="+mn-cs"/>
          </a:endParaRPr>
        </a:p>
        <a:p>
          <a:r>
            <a:rPr lang="en-US" sz="1100" b="1" baseline="0" smtClean="0">
              <a:solidFill>
                <a:schemeClr val="tx1">
                  <a:lumMod val="75000"/>
                  <a:lumOff val="25000"/>
                </a:schemeClr>
              </a:solidFill>
              <a:latin typeface="+mn-lt"/>
              <a:ea typeface="+mn-ea"/>
              <a:cs typeface="+mn-cs"/>
            </a:rPr>
            <a:t>Contribution Margin </a:t>
          </a:r>
          <a:r>
            <a:rPr lang="en-US" sz="1100" b="0" baseline="0" smtClean="0">
              <a:solidFill>
                <a:schemeClr val="tx1">
                  <a:lumMod val="75000"/>
                  <a:lumOff val="25000"/>
                </a:schemeClr>
              </a:solidFill>
              <a:latin typeface="+mn-lt"/>
              <a:ea typeface="+mn-ea"/>
              <a:cs typeface="+mn-cs"/>
            </a:rPr>
            <a:t>(Value of Production - Variable Costs)</a:t>
          </a:r>
          <a:r>
            <a:rPr lang="en-US" sz="1100" baseline="0" smtClean="0">
              <a:solidFill>
                <a:schemeClr val="tx1">
                  <a:lumMod val="75000"/>
                  <a:lumOff val="25000"/>
                </a:schemeClr>
              </a:solidFill>
              <a:latin typeface="+mn-lt"/>
              <a:ea typeface="+mn-ea"/>
              <a:cs typeface="+mn-cs"/>
            </a:rPr>
            <a:t>may be the best single indicator of whether or not an enterprise is pulling its weight.  If Contribution Margin is positive, it means that the enterprise is paying a portion of fixed costs and has a positive effect on the business. If it is negative, the enterprise is having a negative effect on the business. </a:t>
          </a:r>
          <a:r>
            <a:rPr lang="en-US" sz="1100" i="1" baseline="0" smtClean="0">
              <a:solidFill>
                <a:schemeClr val="tx1">
                  <a:lumMod val="75000"/>
                  <a:lumOff val="25000"/>
                </a:schemeClr>
              </a:solidFill>
              <a:latin typeface="+mn-lt"/>
              <a:ea typeface="+mn-ea"/>
              <a:cs typeface="+mn-cs"/>
            </a:rPr>
            <a:t>(Value of Production = Cattle Sales + Cattle Transfer Values - Cattle Purchases)</a:t>
          </a:r>
        </a:p>
        <a:p>
          <a:endParaRPr lang="en-US" sz="1100" baseline="0" smtClean="0">
            <a:solidFill>
              <a:schemeClr val="tx1">
                <a:lumMod val="75000"/>
                <a:lumOff val="25000"/>
              </a:schemeClr>
            </a:solidFill>
            <a:latin typeface="+mn-lt"/>
            <a:ea typeface="+mn-ea"/>
            <a:cs typeface="+mn-cs"/>
          </a:endParaRPr>
        </a:p>
        <a:p>
          <a:r>
            <a:rPr lang="en-US" sz="1100" baseline="0" smtClean="0">
              <a:solidFill>
                <a:schemeClr val="tx1">
                  <a:lumMod val="75000"/>
                  <a:lumOff val="25000"/>
                </a:schemeClr>
              </a:solidFill>
              <a:latin typeface="+mn-lt"/>
              <a:ea typeface="+mn-ea"/>
              <a:cs typeface="+mn-cs"/>
            </a:rPr>
            <a:t>Remember that results for each enterprise depend on the allocations made by the user and by the prices placed on inter-enterprise transfers. For example, if forage transfer prices are set too high, that enterprise will appear very profitable while the livestock enterprise that is using the feed will be unduly penalized. The recommended strategy is to price all transfers at market value, or the price for which the product usually trades on the open market. This will produce the best analysis since you will be able to decide which enterprises should be continued and perhaps expanded, and which ones need work. Decisions to expand or wind down enterprises should never be made on the strength of one year’s information. It may make sense to keep enterprises that appear to be money losers if they are allowing another enterprise to be more profitable. A forage enterprise may show a negative contribution margin but by providing a reliable feed supply to the</a:t>
          </a:r>
        </a:p>
        <a:p>
          <a:r>
            <a:rPr lang="en-US" sz="1100" baseline="0" smtClean="0">
              <a:solidFill>
                <a:schemeClr val="tx1">
                  <a:lumMod val="75000"/>
                  <a:lumOff val="25000"/>
                </a:schemeClr>
              </a:solidFill>
              <a:latin typeface="+mn-lt"/>
              <a:ea typeface="+mn-ea"/>
              <a:cs typeface="+mn-cs"/>
            </a:rPr>
            <a:t>livestock enterprises, it may make sense to keep it.</a:t>
          </a:r>
          <a:endParaRPr lang="en-US" sz="1100">
            <a:solidFill>
              <a:schemeClr val="tx1">
                <a:lumMod val="75000"/>
                <a:lumOff val="25000"/>
              </a:schemeClr>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504825</xdr:colOff>
      <xdr:row>0</xdr:row>
      <xdr:rowOff>97435</xdr:rowOff>
    </xdr:from>
    <xdr:to>
      <xdr:col>10</xdr:col>
      <xdr:colOff>400050</xdr:colOff>
      <xdr:row>0</xdr:row>
      <xdr:rowOff>819150</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4648200" y="97435"/>
          <a:ext cx="1905000" cy="721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27592</xdr:colOff>
      <xdr:row>110</xdr:row>
      <xdr:rowOff>108059</xdr:rowOff>
    </xdr:from>
    <xdr:to>
      <xdr:col>19</xdr:col>
      <xdr:colOff>859659</xdr:colOff>
      <xdr:row>114</xdr:row>
      <xdr:rowOff>139481</xdr:rowOff>
    </xdr:to>
    <xdr:sp macro="" textlink="">
      <xdr:nvSpPr>
        <xdr:cNvPr id="2" name="TextBox 1"/>
        <xdr:cNvSpPr txBox="1"/>
      </xdr:nvSpPr>
      <xdr:spPr>
        <a:xfrm>
          <a:off x="360967" y="25930334"/>
          <a:ext cx="10642817" cy="793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solidFill>
                <a:srgbClr val="FF0000"/>
              </a:solidFill>
            </a:rPr>
            <a:t>TIP</a:t>
          </a:r>
          <a:r>
            <a:rPr lang="en-US" sz="1200"/>
            <a:t>: Enter the grazing details for your cows, bulls, and 1st calf heifers.</a:t>
          </a:r>
          <a:r>
            <a:rPr lang="en-US" sz="1200" baseline="0"/>
            <a:t>  Grazing at different times of the year can have different values (ex. aftermath grazing in late fall could be valued at $0.25/hd/day) and different animal types (cow, bull, heifer) can have different grazing values.  Report grazing on deeded land separate from grazing on rented,leased, community pasture grazing.</a:t>
          </a:r>
          <a:endParaRPr lang="en-US" sz="1200"/>
        </a:p>
      </xdr:txBody>
    </xdr:sp>
    <xdr:clientData/>
  </xdr:twoCellAnchor>
  <xdr:twoCellAnchor editAs="oneCell">
    <xdr:from>
      <xdr:col>15</xdr:col>
      <xdr:colOff>609709</xdr:colOff>
      <xdr:row>0</xdr:row>
      <xdr:rowOff>39522</xdr:rowOff>
    </xdr:from>
    <xdr:to>
      <xdr:col>20</xdr:col>
      <xdr:colOff>42589</xdr:colOff>
      <xdr:row>0</xdr:row>
      <xdr:rowOff>789779</xdr:rowOff>
    </xdr:to>
    <xdr:pic>
      <xdr:nvPicPr>
        <xdr:cNvPr id="3" name="Picture 2" descr="WESTERNBEEF_logo_RGB_sml.png"/>
        <xdr:cNvPicPr>
          <a:picLocks noChangeAspect="1"/>
        </xdr:cNvPicPr>
      </xdr:nvPicPr>
      <xdr:blipFill>
        <a:blip xmlns:r="http://schemas.openxmlformats.org/officeDocument/2006/relationships" r:embed="rId1" cstate="print"/>
        <a:stretch>
          <a:fillRect/>
        </a:stretch>
      </xdr:blipFill>
      <xdr:spPr>
        <a:xfrm>
          <a:off x="8905984" y="39522"/>
          <a:ext cx="2195130" cy="750257"/>
        </a:xfrm>
        <a:prstGeom prst="rect">
          <a:avLst/>
        </a:prstGeom>
      </xdr:spPr>
    </xdr:pic>
    <xdr:clientData/>
  </xdr:twoCellAnchor>
  <xdr:twoCellAnchor>
    <xdr:from>
      <xdr:col>0</xdr:col>
      <xdr:colOff>312202</xdr:colOff>
      <xdr:row>20</xdr:row>
      <xdr:rowOff>215897</xdr:rowOff>
    </xdr:from>
    <xdr:to>
      <xdr:col>9</xdr:col>
      <xdr:colOff>513285</xdr:colOff>
      <xdr:row>20</xdr:row>
      <xdr:rowOff>565150</xdr:rowOff>
    </xdr:to>
    <xdr:sp macro="" textlink="">
      <xdr:nvSpPr>
        <xdr:cNvPr id="4" name="TextBox 3"/>
        <xdr:cNvSpPr txBox="1"/>
      </xdr:nvSpPr>
      <xdr:spPr>
        <a:xfrm>
          <a:off x="312202" y="1273172"/>
          <a:ext cx="5658908" cy="349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2 </a:t>
          </a:r>
          <a:r>
            <a:rPr lang="en-US" sz="1600" b="1">
              <a:solidFill>
                <a:srgbClr val="56A12D"/>
              </a:solidFill>
            </a:rPr>
            <a:t>- </a:t>
          </a:r>
          <a:r>
            <a:rPr lang="en-US" sz="1600" b="1">
              <a:solidFill>
                <a:srgbClr val="122B4A"/>
              </a:solidFill>
            </a:rPr>
            <a:t>Enter breeding stock inventory</a:t>
          </a:r>
          <a:r>
            <a:rPr lang="en-US" sz="1600" b="1" baseline="0">
              <a:solidFill>
                <a:srgbClr val="122B4A"/>
              </a:solidFill>
            </a:rPr>
            <a:t> details</a:t>
          </a:r>
          <a:endParaRPr lang="en-US" sz="1600" b="1">
            <a:solidFill>
              <a:srgbClr val="122B4A"/>
            </a:solidFill>
          </a:endParaRPr>
        </a:p>
      </xdr:txBody>
    </xdr:sp>
    <xdr:clientData/>
  </xdr:twoCellAnchor>
  <xdr:twoCellAnchor>
    <xdr:from>
      <xdr:col>1</xdr:col>
      <xdr:colOff>35977</xdr:colOff>
      <xdr:row>30</xdr:row>
      <xdr:rowOff>5289</xdr:rowOff>
    </xdr:from>
    <xdr:to>
      <xdr:col>9</xdr:col>
      <xdr:colOff>522810</xdr:colOff>
      <xdr:row>32</xdr:row>
      <xdr:rowOff>58209</xdr:rowOff>
    </xdr:to>
    <xdr:sp macro="" textlink="">
      <xdr:nvSpPr>
        <xdr:cNvPr id="5" name="TextBox 4"/>
        <xdr:cNvSpPr txBox="1"/>
      </xdr:nvSpPr>
      <xdr:spPr>
        <a:xfrm>
          <a:off x="369352" y="3777189"/>
          <a:ext cx="5611283" cy="433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3 </a:t>
          </a:r>
          <a:r>
            <a:rPr lang="en-US" sz="1600" b="1">
              <a:solidFill>
                <a:srgbClr val="56A12D"/>
              </a:solidFill>
            </a:rPr>
            <a:t>- </a:t>
          </a:r>
          <a:r>
            <a:rPr lang="en-US" sz="1600" b="1">
              <a:solidFill>
                <a:srgbClr val="122B4A"/>
              </a:solidFill>
            </a:rPr>
            <a:t>Enter breeding stock market values</a:t>
          </a:r>
        </a:p>
      </xdr:txBody>
    </xdr:sp>
    <xdr:clientData/>
  </xdr:twoCellAnchor>
  <xdr:twoCellAnchor>
    <xdr:from>
      <xdr:col>7</xdr:col>
      <xdr:colOff>838199</xdr:colOff>
      <xdr:row>30</xdr:row>
      <xdr:rowOff>137584</xdr:rowOff>
    </xdr:from>
    <xdr:to>
      <xdr:col>15</xdr:col>
      <xdr:colOff>171449</xdr:colOff>
      <xdr:row>39</xdr:row>
      <xdr:rowOff>161925</xdr:rowOff>
    </xdr:to>
    <xdr:sp macro="" textlink="">
      <xdr:nvSpPr>
        <xdr:cNvPr id="6" name="TextBox 5"/>
        <xdr:cNvSpPr txBox="1"/>
      </xdr:nvSpPr>
      <xdr:spPr>
        <a:xfrm>
          <a:off x="5200649" y="8090959"/>
          <a:ext cx="3267075" cy="1691216"/>
        </a:xfrm>
        <a:prstGeom prst="rect">
          <a:avLst/>
        </a:prstGeom>
        <a:solidFill>
          <a:schemeClr val="lt1"/>
        </a:solidFill>
        <a:ln w="25400" cmpd="dbl">
          <a:solidFill>
            <a:srgbClr val="122B4A"/>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a:solidFill>
                <a:srgbClr val="122B4A"/>
              </a:solidFill>
            </a:rPr>
            <a:t>Why do you need to provide market values?</a:t>
          </a:r>
        </a:p>
        <a:p>
          <a:endParaRPr lang="en-US" sz="1050" i="1">
            <a:solidFill>
              <a:schemeClr val="bg1">
                <a:lumMod val="50000"/>
              </a:schemeClr>
            </a:solidFill>
          </a:endParaRPr>
        </a:p>
        <a:p>
          <a:r>
            <a:rPr lang="en-US" sz="1050" i="1">
              <a:solidFill>
                <a:schemeClr val="bg1">
                  <a:lumMod val="50000"/>
                </a:schemeClr>
              </a:solidFill>
            </a:rPr>
            <a:t>The</a:t>
          </a:r>
          <a:r>
            <a:rPr lang="en-US" sz="1050" i="1" baseline="0">
              <a:solidFill>
                <a:schemeClr val="bg1">
                  <a:lumMod val="50000"/>
                </a:schemeClr>
              </a:solidFill>
            </a:rPr>
            <a:t> beginning and ending market values for your breeding stock are used to calculate breeding stock depreciation (decline in value of the breeding herd). Breeding stock depreciation is calculated from cull sales, breeding stock purchases and changes in the value of the breeding stock during the year (as specified by you).</a:t>
          </a:r>
          <a:endParaRPr lang="en-US" sz="1050" i="1">
            <a:solidFill>
              <a:schemeClr val="bg1">
                <a:lumMod val="50000"/>
              </a:schemeClr>
            </a:solidFill>
          </a:endParaRPr>
        </a:p>
      </xdr:txBody>
    </xdr:sp>
    <xdr:clientData/>
  </xdr:twoCellAnchor>
  <xdr:twoCellAnchor>
    <xdr:from>
      <xdr:col>1</xdr:col>
      <xdr:colOff>0</xdr:colOff>
      <xdr:row>3</xdr:row>
      <xdr:rowOff>266701</xdr:rowOff>
    </xdr:from>
    <xdr:to>
      <xdr:col>9</xdr:col>
      <xdr:colOff>486833</xdr:colOff>
      <xdr:row>3</xdr:row>
      <xdr:rowOff>590551</xdr:rowOff>
    </xdr:to>
    <xdr:sp macro="" textlink="">
      <xdr:nvSpPr>
        <xdr:cNvPr id="7" name="TextBox 6"/>
        <xdr:cNvSpPr txBox="1"/>
      </xdr:nvSpPr>
      <xdr:spPr>
        <a:xfrm>
          <a:off x="333375" y="1990726"/>
          <a:ext cx="5468408"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Important dates</a:t>
          </a:r>
        </a:p>
      </xdr:txBody>
    </xdr:sp>
    <xdr:clientData/>
  </xdr:twoCellAnchor>
  <xdr:twoCellAnchor>
    <xdr:from>
      <xdr:col>7</xdr:col>
      <xdr:colOff>428625</xdr:colOff>
      <xdr:row>4</xdr:row>
      <xdr:rowOff>19050</xdr:rowOff>
    </xdr:from>
    <xdr:to>
      <xdr:col>14</xdr:col>
      <xdr:colOff>62443</xdr:colOff>
      <xdr:row>8</xdr:row>
      <xdr:rowOff>76200</xdr:rowOff>
    </xdr:to>
    <xdr:sp macro="" textlink="">
      <xdr:nvSpPr>
        <xdr:cNvPr id="8" name="TextBox 7"/>
        <xdr:cNvSpPr txBox="1"/>
      </xdr:nvSpPr>
      <xdr:spPr>
        <a:xfrm>
          <a:off x="4171950" y="5715000"/>
          <a:ext cx="3605743" cy="942975"/>
        </a:xfrm>
        <a:prstGeom prst="rect">
          <a:avLst/>
        </a:prstGeom>
        <a:solidFill>
          <a:schemeClr val="lt1"/>
        </a:solidFill>
        <a:ln w="25400" cmpd="dbl">
          <a:solidFill>
            <a:srgbClr val="122B4A"/>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a:solidFill>
                <a:schemeClr val="bg1">
                  <a:lumMod val="50000"/>
                </a:schemeClr>
              </a:solidFill>
            </a:rPr>
            <a:t>If you breed</a:t>
          </a:r>
          <a:r>
            <a:rPr lang="en-US" sz="1050" i="1" baseline="0">
              <a:solidFill>
                <a:schemeClr val="bg1">
                  <a:lumMod val="50000"/>
                </a:schemeClr>
              </a:solidFill>
            </a:rPr>
            <a:t> your heifers earlier than the rest of the cows, provide both sets of dates. </a:t>
          </a:r>
        </a:p>
        <a:p>
          <a:r>
            <a:rPr lang="en-US" sz="1050" i="1">
              <a:solidFill>
                <a:schemeClr val="bg1">
                  <a:lumMod val="50000"/>
                </a:schemeClr>
              </a:solidFill>
            </a:rPr>
            <a:t>Providing information on your breeding season length and calving start date is used for calculating production indicators</a:t>
          </a:r>
          <a:r>
            <a:rPr lang="en-US" sz="1050" i="1" baseline="0">
              <a:solidFill>
                <a:schemeClr val="bg1">
                  <a:lumMod val="50000"/>
                </a:schemeClr>
              </a:solidFill>
            </a:rPr>
            <a:t> and assessing trouble spots on your ranch.</a:t>
          </a:r>
          <a:endParaRPr lang="en-US" sz="1050" i="1">
            <a:solidFill>
              <a:schemeClr val="bg1">
                <a:lumMod val="50000"/>
              </a:schemeClr>
            </a:solidFill>
          </a:endParaRPr>
        </a:p>
      </xdr:txBody>
    </xdr:sp>
    <xdr:clientData/>
  </xdr:twoCellAnchor>
  <xdr:twoCellAnchor>
    <xdr:from>
      <xdr:col>1</xdr:col>
      <xdr:colOff>19050</xdr:colOff>
      <xdr:row>40</xdr:row>
      <xdr:rowOff>28575</xdr:rowOff>
    </xdr:from>
    <xdr:to>
      <xdr:col>9</xdr:col>
      <xdr:colOff>505883</xdr:colOff>
      <xdr:row>41</xdr:row>
      <xdr:rowOff>161925</xdr:rowOff>
    </xdr:to>
    <xdr:sp macro="" textlink="">
      <xdr:nvSpPr>
        <xdr:cNvPr id="9" name="TextBox 8"/>
        <xdr:cNvSpPr txBox="1"/>
      </xdr:nvSpPr>
      <xdr:spPr>
        <a:xfrm>
          <a:off x="352425" y="9134475"/>
          <a:ext cx="5611283"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4 </a:t>
          </a:r>
          <a:r>
            <a:rPr lang="en-US" sz="1600" b="1">
              <a:solidFill>
                <a:srgbClr val="56A12D"/>
              </a:solidFill>
            </a:rPr>
            <a:t>- </a:t>
          </a:r>
          <a:r>
            <a:rPr lang="en-US" sz="1600" b="1">
              <a:solidFill>
                <a:srgbClr val="122B4A"/>
              </a:solidFill>
            </a:rPr>
            <a:t>Calf Crop Details</a:t>
          </a:r>
        </a:p>
        <a:p>
          <a:endParaRPr lang="en-US" sz="1600" b="1">
            <a:solidFill>
              <a:srgbClr val="122B4A"/>
            </a:solidFill>
          </a:endParaRPr>
        </a:p>
      </xdr:txBody>
    </xdr:sp>
    <xdr:clientData/>
  </xdr:twoCellAnchor>
  <xdr:twoCellAnchor>
    <xdr:from>
      <xdr:col>0</xdr:col>
      <xdr:colOff>323850</xdr:colOff>
      <xdr:row>50</xdr:row>
      <xdr:rowOff>238125</xdr:rowOff>
    </xdr:from>
    <xdr:to>
      <xdr:col>9</xdr:col>
      <xdr:colOff>477308</xdr:colOff>
      <xdr:row>50</xdr:row>
      <xdr:rowOff>590550</xdr:rowOff>
    </xdr:to>
    <xdr:sp macro="" textlink="">
      <xdr:nvSpPr>
        <xdr:cNvPr id="10" name="TextBox 9"/>
        <xdr:cNvSpPr txBox="1"/>
      </xdr:nvSpPr>
      <xdr:spPr>
        <a:xfrm>
          <a:off x="323850" y="11363325"/>
          <a:ext cx="5468408"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5 </a:t>
          </a:r>
          <a:r>
            <a:rPr lang="en-US" sz="1600" b="1">
              <a:solidFill>
                <a:srgbClr val="56A12D"/>
              </a:solidFill>
            </a:rPr>
            <a:t>- </a:t>
          </a:r>
          <a:r>
            <a:rPr lang="en-US" sz="1600" b="1">
              <a:solidFill>
                <a:srgbClr val="122B4A"/>
              </a:solidFill>
            </a:rPr>
            <a:t>Weaned Calf Management</a:t>
          </a:r>
        </a:p>
      </xdr:txBody>
    </xdr:sp>
    <xdr:clientData/>
  </xdr:twoCellAnchor>
  <xdr:twoCellAnchor>
    <xdr:from>
      <xdr:col>1</xdr:col>
      <xdr:colOff>0</xdr:colOff>
      <xdr:row>64</xdr:row>
      <xdr:rowOff>9525</xdr:rowOff>
    </xdr:from>
    <xdr:to>
      <xdr:col>9</xdr:col>
      <xdr:colOff>486833</xdr:colOff>
      <xdr:row>64</xdr:row>
      <xdr:rowOff>361950</xdr:rowOff>
    </xdr:to>
    <xdr:sp macro="" textlink="">
      <xdr:nvSpPr>
        <xdr:cNvPr id="11" name="TextBox 10"/>
        <xdr:cNvSpPr txBox="1"/>
      </xdr:nvSpPr>
      <xdr:spPr>
        <a:xfrm>
          <a:off x="333375" y="14935200"/>
          <a:ext cx="5468408"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6 </a:t>
          </a:r>
          <a:r>
            <a:rPr lang="en-US" sz="1600" b="1">
              <a:solidFill>
                <a:srgbClr val="56A12D"/>
              </a:solidFill>
            </a:rPr>
            <a:t>- </a:t>
          </a:r>
          <a:r>
            <a:rPr lang="en-US" sz="1600" b="1">
              <a:solidFill>
                <a:srgbClr val="122B4A"/>
              </a:solidFill>
            </a:rPr>
            <a:t> Sales &amp; Purchases Related to Cow-Calf Enterprise</a:t>
          </a:r>
        </a:p>
      </xdr:txBody>
    </xdr:sp>
    <xdr:clientData/>
  </xdr:twoCellAnchor>
  <xdr:twoCellAnchor>
    <xdr:from>
      <xdr:col>1</xdr:col>
      <xdr:colOff>9525</xdr:colOff>
      <xdr:row>65</xdr:row>
      <xdr:rowOff>38101</xdr:rowOff>
    </xdr:from>
    <xdr:to>
      <xdr:col>15</xdr:col>
      <xdr:colOff>95250</xdr:colOff>
      <xdr:row>66</xdr:row>
      <xdr:rowOff>238125</xdr:rowOff>
    </xdr:to>
    <xdr:sp macro="" textlink="">
      <xdr:nvSpPr>
        <xdr:cNvPr id="12" name="TextBox 11"/>
        <xdr:cNvSpPr txBox="1"/>
      </xdr:nvSpPr>
      <xdr:spPr>
        <a:xfrm>
          <a:off x="342900" y="14525626"/>
          <a:ext cx="8048625" cy="447674"/>
        </a:xfrm>
        <a:prstGeom prst="rect">
          <a:avLst/>
        </a:prstGeom>
        <a:solidFill>
          <a:schemeClr val="lt1"/>
        </a:solidFill>
        <a:ln w="25400" cmpd="dbl">
          <a:solidFill>
            <a:srgbClr val="122B4A"/>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a:solidFill>
                <a:schemeClr val="bg1">
                  <a:lumMod val="50000"/>
                </a:schemeClr>
              </a:solidFill>
            </a:rPr>
            <a:t>Please enter the sales of cull cows, cull bulls, bred cows .</a:t>
          </a:r>
          <a:r>
            <a:rPr lang="en-US" sz="1050" i="1" baseline="0">
              <a:solidFill>
                <a:schemeClr val="bg1">
                  <a:lumMod val="50000"/>
                </a:schemeClr>
              </a:solidFill>
            </a:rPr>
            <a:t> Sale of weaned calves should already be entered in Step 5. Any purchases of bred cows, cows with calves at side, bred heifers and herdsires also needs to be entered in Step 6. </a:t>
          </a:r>
          <a:endParaRPr lang="en-US" sz="1050" i="1">
            <a:solidFill>
              <a:schemeClr val="bg1">
                <a:lumMod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twoCellAnchor>
    <xdr:from>
      <xdr:col>1</xdr:col>
      <xdr:colOff>0</xdr:colOff>
      <xdr:row>84</xdr:row>
      <xdr:rowOff>104775</xdr:rowOff>
    </xdr:from>
    <xdr:to>
      <xdr:col>9</xdr:col>
      <xdr:colOff>486833</xdr:colOff>
      <xdr:row>86</xdr:row>
      <xdr:rowOff>0</xdr:rowOff>
    </xdr:to>
    <xdr:sp macro="" textlink="">
      <xdr:nvSpPr>
        <xdr:cNvPr id="13" name="TextBox 12"/>
        <xdr:cNvSpPr txBox="1"/>
      </xdr:nvSpPr>
      <xdr:spPr>
        <a:xfrm>
          <a:off x="333375" y="19373850"/>
          <a:ext cx="5468408"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7 </a:t>
          </a:r>
          <a:r>
            <a:rPr lang="en-US" sz="1600" b="1">
              <a:solidFill>
                <a:srgbClr val="56A12D"/>
              </a:solidFill>
            </a:rPr>
            <a:t>- </a:t>
          </a:r>
          <a:r>
            <a:rPr lang="en-US" sz="1600" b="1">
              <a:solidFill>
                <a:srgbClr val="122B4A"/>
              </a:solidFill>
            </a:rPr>
            <a:t> Winter Feed for Cows, Bulls</a:t>
          </a:r>
          <a:r>
            <a:rPr lang="en-US" sz="1600" b="1" baseline="0">
              <a:solidFill>
                <a:srgbClr val="122B4A"/>
              </a:solidFill>
            </a:rPr>
            <a:t> &amp; Bred Heifers</a:t>
          </a:r>
          <a:endParaRPr lang="en-US" sz="1600" b="1">
            <a:solidFill>
              <a:srgbClr val="122B4A"/>
            </a:solidFill>
          </a:endParaRPr>
        </a:p>
      </xdr:txBody>
    </xdr:sp>
    <xdr:clientData/>
  </xdr:twoCellAnchor>
  <xdr:twoCellAnchor>
    <xdr:from>
      <xdr:col>1</xdr:col>
      <xdr:colOff>38100</xdr:colOff>
      <xdr:row>86</xdr:row>
      <xdr:rowOff>66675</xdr:rowOff>
    </xdr:from>
    <xdr:to>
      <xdr:col>16</xdr:col>
      <xdr:colOff>9525</xdr:colOff>
      <xdr:row>87</xdr:row>
      <xdr:rowOff>9524</xdr:rowOff>
    </xdr:to>
    <xdr:sp macro="" textlink="">
      <xdr:nvSpPr>
        <xdr:cNvPr id="14" name="TextBox 13"/>
        <xdr:cNvSpPr txBox="1"/>
      </xdr:nvSpPr>
      <xdr:spPr>
        <a:xfrm>
          <a:off x="371475" y="21469350"/>
          <a:ext cx="8772525" cy="447674"/>
        </a:xfrm>
        <a:prstGeom prst="rect">
          <a:avLst/>
        </a:prstGeom>
        <a:solidFill>
          <a:schemeClr val="lt1"/>
        </a:solidFill>
        <a:ln w="25400" cmpd="dbl">
          <a:solidFill>
            <a:srgbClr val="122B4A"/>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a:solidFill>
                <a:schemeClr val="bg1">
                  <a:lumMod val="50000"/>
                </a:schemeClr>
              </a:solidFill>
            </a:rPr>
            <a:t>Please enter the winter feed fed to the cows,</a:t>
          </a:r>
          <a:r>
            <a:rPr lang="en-US" sz="1050" i="1" baseline="0">
              <a:solidFill>
                <a:schemeClr val="bg1">
                  <a:lumMod val="50000"/>
                </a:schemeClr>
              </a:solidFill>
            </a:rPr>
            <a:t> bulls and bred heifers prior to the calves being born. Be sure to include winter feeding as soon as it starts, it is fine if it started prior to January 1st, the point is to capture all the winter feed fed to breeding stock prior to calves being born.</a:t>
          </a:r>
          <a:endParaRPr lang="en-US" sz="1050" i="1">
            <a:solidFill>
              <a:schemeClr val="bg1">
                <a:lumMod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twoCellAnchor>
    <xdr:from>
      <xdr:col>0</xdr:col>
      <xdr:colOff>314325</xdr:colOff>
      <xdr:row>97</xdr:row>
      <xdr:rowOff>161925</xdr:rowOff>
    </xdr:from>
    <xdr:to>
      <xdr:col>9</xdr:col>
      <xdr:colOff>467783</xdr:colOff>
      <xdr:row>99</xdr:row>
      <xdr:rowOff>133350</xdr:rowOff>
    </xdr:to>
    <xdr:sp macro="" textlink="">
      <xdr:nvSpPr>
        <xdr:cNvPr id="15" name="TextBox 14"/>
        <xdr:cNvSpPr txBox="1"/>
      </xdr:nvSpPr>
      <xdr:spPr>
        <a:xfrm>
          <a:off x="314325" y="23088600"/>
          <a:ext cx="5468408"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8 </a:t>
          </a:r>
          <a:r>
            <a:rPr lang="en-US" sz="1600" b="1">
              <a:solidFill>
                <a:srgbClr val="56A12D"/>
              </a:solidFill>
            </a:rPr>
            <a:t>- </a:t>
          </a:r>
          <a:r>
            <a:rPr lang="en-US" sz="1600" b="1">
              <a:solidFill>
                <a:srgbClr val="122B4A"/>
              </a:solidFill>
            </a:rPr>
            <a:t> Grazing Cows, 1st Calvers, Herd Sires</a:t>
          </a:r>
        </a:p>
      </xdr:txBody>
    </xdr:sp>
    <xdr:clientData/>
  </xdr:twoCellAnchor>
  <xdr:twoCellAnchor>
    <xdr:from>
      <xdr:col>1</xdr:col>
      <xdr:colOff>0</xdr:colOff>
      <xdr:row>116</xdr:row>
      <xdr:rowOff>0</xdr:rowOff>
    </xdr:from>
    <xdr:to>
      <xdr:col>17</xdr:col>
      <xdr:colOff>581025</xdr:colOff>
      <xdr:row>118</xdr:row>
      <xdr:rowOff>47625</xdr:rowOff>
    </xdr:to>
    <xdr:sp macro="" textlink="">
      <xdr:nvSpPr>
        <xdr:cNvPr id="16" name="TextBox 15"/>
        <xdr:cNvSpPr txBox="1"/>
      </xdr:nvSpPr>
      <xdr:spPr>
        <a:xfrm>
          <a:off x="333375" y="26965275"/>
          <a:ext cx="950595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YOU HAVE NOW ENTERED ALL THE</a:t>
          </a:r>
          <a:r>
            <a:rPr lang="en-US" sz="1800" b="1" baseline="0">
              <a:solidFill>
                <a:srgbClr val="56A12D"/>
              </a:solidFill>
            </a:rPr>
            <a:t> PRODUCTION DETAILS FOR THE COW-CALF ENTERPRISE!</a:t>
          </a:r>
          <a:endParaRPr lang="en-US" sz="1600" b="1">
            <a:solidFill>
              <a:srgbClr val="122B4A"/>
            </a:solidFill>
          </a:endParaRPr>
        </a:p>
      </xdr:txBody>
    </xdr:sp>
    <xdr:clientData/>
  </xdr:twoCellAnchor>
  <xdr:twoCellAnchor>
    <xdr:from>
      <xdr:col>1</xdr:col>
      <xdr:colOff>0</xdr:colOff>
      <xdr:row>50</xdr:row>
      <xdr:rowOff>600075</xdr:rowOff>
    </xdr:from>
    <xdr:to>
      <xdr:col>15</xdr:col>
      <xdr:colOff>85725</xdr:colOff>
      <xdr:row>51</xdr:row>
      <xdr:rowOff>523875</xdr:rowOff>
    </xdr:to>
    <xdr:sp macro="" textlink="">
      <xdr:nvSpPr>
        <xdr:cNvPr id="17" name="TextBox 16"/>
        <xdr:cNvSpPr txBox="1"/>
      </xdr:nvSpPr>
      <xdr:spPr>
        <a:xfrm>
          <a:off x="333375" y="12392025"/>
          <a:ext cx="8048625" cy="590550"/>
        </a:xfrm>
        <a:prstGeom prst="rect">
          <a:avLst/>
        </a:prstGeom>
        <a:solidFill>
          <a:schemeClr val="lt1"/>
        </a:solidFill>
        <a:ln w="25400" cmpd="dbl">
          <a:solidFill>
            <a:srgbClr val="122B4A"/>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a:solidFill>
                <a:schemeClr val="bg1">
                  <a:lumMod val="50000"/>
                </a:schemeClr>
              </a:solidFill>
            </a:rPr>
            <a:t>Indicate what happened</a:t>
          </a:r>
          <a:r>
            <a:rPr lang="en-US" sz="1050" i="1" baseline="0">
              <a:solidFill>
                <a:schemeClr val="bg1">
                  <a:lumMod val="50000"/>
                </a:schemeClr>
              </a:solidFill>
            </a:rPr>
            <a:t> with your weaned calves. How many were sold at weaning (or within 2 weeks of weaning). How many were retained for backgrounding? How many were retained for replacement breeding stock? Provide the number of head, average weight and average price received for any that were sold or average market value for any that were retained.</a:t>
          </a:r>
          <a:endParaRPr lang="en-US" sz="1050" i="1">
            <a:solidFill>
              <a:schemeClr val="bg1">
                <a:lumMod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27592</xdr:colOff>
      <xdr:row>60</xdr:row>
      <xdr:rowOff>108059</xdr:rowOff>
    </xdr:from>
    <xdr:to>
      <xdr:col>19</xdr:col>
      <xdr:colOff>859659</xdr:colOff>
      <xdr:row>64</xdr:row>
      <xdr:rowOff>139481</xdr:rowOff>
    </xdr:to>
    <xdr:sp macro="" textlink="">
      <xdr:nvSpPr>
        <xdr:cNvPr id="2" name="TextBox 1"/>
        <xdr:cNvSpPr txBox="1"/>
      </xdr:nvSpPr>
      <xdr:spPr>
        <a:xfrm>
          <a:off x="360967" y="25930334"/>
          <a:ext cx="10642817" cy="793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solidFill>
                <a:srgbClr val="FF0000"/>
              </a:solidFill>
            </a:rPr>
            <a:t>TIP</a:t>
          </a:r>
          <a:r>
            <a:rPr lang="en-US" sz="1200"/>
            <a:t>: Enter the grazing details for your replacement heifers.</a:t>
          </a:r>
          <a:r>
            <a:rPr lang="en-US" sz="1200" baseline="0"/>
            <a:t>  Grazing at different times of the year can have different values (ex. aftermath grazing in late fall could be valued at $0.25/hd/day) and different animal types (cow, bull, heifer) can have different grazing values.  Report grazing on deeded land separate from grazing on rented,leased, community pasture grazing.</a:t>
          </a:r>
          <a:endParaRPr lang="en-US" sz="1200"/>
        </a:p>
      </xdr:txBody>
    </xdr:sp>
    <xdr:clientData/>
  </xdr:twoCellAnchor>
  <xdr:twoCellAnchor editAs="oneCell">
    <xdr:from>
      <xdr:col>17</xdr:col>
      <xdr:colOff>19159</xdr:colOff>
      <xdr:row>0</xdr:row>
      <xdr:rowOff>68097</xdr:rowOff>
    </xdr:from>
    <xdr:to>
      <xdr:col>20</xdr:col>
      <xdr:colOff>414064</xdr:colOff>
      <xdr:row>1</xdr:row>
      <xdr:rowOff>84929</xdr:rowOff>
    </xdr:to>
    <xdr:pic>
      <xdr:nvPicPr>
        <xdr:cNvPr id="3" name="Picture 2" descr="WESTERNBEEF_logo_RGB_sml.png"/>
        <xdr:cNvPicPr>
          <a:picLocks noChangeAspect="1"/>
        </xdr:cNvPicPr>
      </xdr:nvPicPr>
      <xdr:blipFill>
        <a:blip xmlns:r="http://schemas.openxmlformats.org/officeDocument/2006/relationships" r:embed="rId1" cstate="print"/>
        <a:stretch>
          <a:fillRect/>
        </a:stretch>
      </xdr:blipFill>
      <xdr:spPr>
        <a:xfrm>
          <a:off x="9277459" y="68097"/>
          <a:ext cx="2195130" cy="750257"/>
        </a:xfrm>
        <a:prstGeom prst="rect">
          <a:avLst/>
        </a:prstGeom>
      </xdr:spPr>
    </xdr:pic>
    <xdr:clientData/>
  </xdr:twoCellAnchor>
  <xdr:twoCellAnchor>
    <xdr:from>
      <xdr:col>1</xdr:col>
      <xdr:colOff>131227</xdr:colOff>
      <xdr:row>9</xdr:row>
      <xdr:rowOff>101597</xdr:rowOff>
    </xdr:from>
    <xdr:to>
      <xdr:col>15</xdr:col>
      <xdr:colOff>790575</xdr:colOff>
      <xdr:row>10</xdr:row>
      <xdr:rowOff>104775</xdr:rowOff>
    </xdr:to>
    <xdr:sp macro="" textlink="">
      <xdr:nvSpPr>
        <xdr:cNvPr id="4" name="TextBox 3"/>
        <xdr:cNvSpPr txBox="1"/>
      </xdr:nvSpPr>
      <xdr:spPr>
        <a:xfrm>
          <a:off x="464602" y="4368797"/>
          <a:ext cx="8574623" cy="422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the replacement heifer inventory</a:t>
          </a:r>
          <a:r>
            <a:rPr lang="en-US" sz="1600" b="1" baseline="0">
              <a:solidFill>
                <a:srgbClr val="122B4A"/>
              </a:solidFill>
            </a:rPr>
            <a:t> details &amp; estimated market values</a:t>
          </a:r>
          <a:endParaRPr lang="en-US" sz="1600" b="1">
            <a:solidFill>
              <a:srgbClr val="122B4A"/>
            </a:solidFill>
          </a:endParaRPr>
        </a:p>
      </xdr:txBody>
    </xdr:sp>
    <xdr:clientData/>
  </xdr:twoCellAnchor>
  <xdr:twoCellAnchor>
    <xdr:from>
      <xdr:col>1</xdr:col>
      <xdr:colOff>19050</xdr:colOff>
      <xdr:row>16</xdr:row>
      <xdr:rowOff>0</xdr:rowOff>
    </xdr:from>
    <xdr:to>
      <xdr:col>9</xdr:col>
      <xdr:colOff>505883</xdr:colOff>
      <xdr:row>17</xdr:row>
      <xdr:rowOff>0</xdr:rowOff>
    </xdr:to>
    <xdr:sp macro="" textlink="">
      <xdr:nvSpPr>
        <xdr:cNvPr id="7" name="TextBox 6"/>
        <xdr:cNvSpPr txBox="1"/>
      </xdr:nvSpPr>
      <xdr:spPr>
        <a:xfrm>
          <a:off x="352425" y="5705475"/>
          <a:ext cx="5468408"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2 </a:t>
          </a:r>
          <a:r>
            <a:rPr lang="en-US" sz="1600" b="1">
              <a:solidFill>
                <a:srgbClr val="56A12D"/>
              </a:solidFill>
            </a:rPr>
            <a:t>- </a:t>
          </a:r>
          <a:r>
            <a:rPr lang="en-US" sz="1600" b="1">
              <a:solidFill>
                <a:srgbClr val="122B4A"/>
              </a:solidFill>
            </a:rPr>
            <a:t>Important dates</a:t>
          </a:r>
        </a:p>
      </xdr:txBody>
    </xdr:sp>
    <xdr:clientData/>
  </xdr:twoCellAnchor>
  <xdr:twoCellAnchor>
    <xdr:from>
      <xdr:col>0</xdr:col>
      <xdr:colOff>323850</xdr:colOff>
      <xdr:row>21</xdr:row>
      <xdr:rowOff>0</xdr:rowOff>
    </xdr:from>
    <xdr:to>
      <xdr:col>9</xdr:col>
      <xdr:colOff>477308</xdr:colOff>
      <xdr:row>21</xdr:row>
      <xdr:rowOff>0</xdr:rowOff>
    </xdr:to>
    <xdr:sp macro="" textlink="">
      <xdr:nvSpPr>
        <xdr:cNvPr id="10" name="TextBox 9"/>
        <xdr:cNvSpPr txBox="1"/>
      </xdr:nvSpPr>
      <xdr:spPr>
        <a:xfrm>
          <a:off x="323850" y="11363325"/>
          <a:ext cx="5468408"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5 </a:t>
          </a:r>
          <a:r>
            <a:rPr lang="en-US" sz="1600" b="1">
              <a:solidFill>
                <a:srgbClr val="56A12D"/>
              </a:solidFill>
            </a:rPr>
            <a:t>- </a:t>
          </a:r>
          <a:r>
            <a:rPr lang="en-US" sz="1600" b="1">
              <a:solidFill>
                <a:srgbClr val="122B4A"/>
              </a:solidFill>
            </a:rPr>
            <a:t>Weaned Calf Management</a:t>
          </a:r>
        </a:p>
      </xdr:txBody>
    </xdr:sp>
    <xdr:clientData/>
  </xdr:twoCellAnchor>
  <xdr:twoCellAnchor>
    <xdr:from>
      <xdr:col>1</xdr:col>
      <xdr:colOff>0</xdr:colOff>
      <xdr:row>21</xdr:row>
      <xdr:rowOff>133350</xdr:rowOff>
    </xdr:from>
    <xdr:to>
      <xdr:col>11</xdr:col>
      <xdr:colOff>628650</xdr:colOff>
      <xdr:row>22</xdr:row>
      <xdr:rowOff>238125</xdr:rowOff>
    </xdr:to>
    <xdr:sp macro="" textlink="">
      <xdr:nvSpPr>
        <xdr:cNvPr id="11" name="TextBox 10"/>
        <xdr:cNvSpPr txBox="1"/>
      </xdr:nvSpPr>
      <xdr:spPr>
        <a:xfrm>
          <a:off x="333375" y="7848600"/>
          <a:ext cx="6572250"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3 </a:t>
          </a:r>
          <a:r>
            <a:rPr lang="en-US" sz="1600" b="1">
              <a:solidFill>
                <a:srgbClr val="56A12D"/>
              </a:solidFill>
            </a:rPr>
            <a:t>- </a:t>
          </a:r>
          <a:r>
            <a:rPr lang="en-US" sz="1600" b="1">
              <a:solidFill>
                <a:srgbClr val="122B4A"/>
              </a:solidFill>
            </a:rPr>
            <a:t> Sales &amp; Purchases Related to Replacement Enterprise</a:t>
          </a:r>
        </a:p>
      </xdr:txBody>
    </xdr:sp>
    <xdr:clientData/>
  </xdr:twoCellAnchor>
  <xdr:twoCellAnchor>
    <xdr:from>
      <xdr:col>0</xdr:col>
      <xdr:colOff>323850</xdr:colOff>
      <xdr:row>22</xdr:row>
      <xdr:rowOff>190501</xdr:rowOff>
    </xdr:from>
    <xdr:to>
      <xdr:col>13</xdr:col>
      <xdr:colOff>647700</xdr:colOff>
      <xdr:row>24</xdr:row>
      <xdr:rowOff>142875</xdr:rowOff>
    </xdr:to>
    <xdr:sp macro="" textlink="">
      <xdr:nvSpPr>
        <xdr:cNvPr id="12" name="TextBox 11"/>
        <xdr:cNvSpPr txBox="1"/>
      </xdr:nvSpPr>
      <xdr:spPr>
        <a:xfrm>
          <a:off x="323850" y="7924801"/>
          <a:ext cx="7572375" cy="447674"/>
        </a:xfrm>
        <a:prstGeom prst="rect">
          <a:avLst/>
        </a:prstGeom>
        <a:no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baseline="0">
              <a:solidFill>
                <a:schemeClr val="bg1">
                  <a:lumMod val="50000"/>
                </a:schemeClr>
              </a:solidFill>
            </a:rPr>
            <a:t>Any purchases of open heifers for the purpose of developing bred heifers should also be entered in this step.</a:t>
          </a:r>
        </a:p>
        <a:p>
          <a:r>
            <a:rPr lang="en-US" sz="1100" i="1">
              <a:solidFill>
                <a:schemeClr val="tx1">
                  <a:lumMod val="50000"/>
                  <a:lumOff val="50000"/>
                </a:schemeClr>
              </a:solidFill>
              <a:latin typeface="+mn-lt"/>
              <a:ea typeface="+mn-ea"/>
              <a:cs typeface="+mn-cs"/>
            </a:rPr>
            <a:t>Please enter the sales of open and</a:t>
          </a:r>
          <a:r>
            <a:rPr lang="en-US" sz="1100" i="1" baseline="0">
              <a:solidFill>
                <a:schemeClr val="tx1">
                  <a:lumMod val="50000"/>
                  <a:lumOff val="50000"/>
                </a:schemeClr>
              </a:solidFill>
              <a:latin typeface="+mn-lt"/>
              <a:ea typeface="+mn-ea"/>
              <a:cs typeface="+mn-cs"/>
            </a:rPr>
            <a:t> bred heifers. </a:t>
          </a:r>
          <a:r>
            <a:rPr lang="en-US" sz="1050" i="1" baseline="0">
              <a:solidFill>
                <a:schemeClr val="tx1">
                  <a:lumMod val="50000"/>
                  <a:lumOff val="50000"/>
                </a:schemeClr>
              </a:solidFill>
            </a:rPr>
            <a:t> </a:t>
          </a:r>
          <a:endParaRPr lang="en-US" sz="1050" i="1">
            <a:solidFill>
              <a:schemeClr val="tx1">
                <a:lumMod val="50000"/>
                <a:lumOff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twoCellAnchor>
    <xdr:from>
      <xdr:col>1</xdr:col>
      <xdr:colOff>0</xdr:colOff>
      <xdr:row>37</xdr:row>
      <xdr:rowOff>104775</xdr:rowOff>
    </xdr:from>
    <xdr:to>
      <xdr:col>9</xdr:col>
      <xdr:colOff>486833</xdr:colOff>
      <xdr:row>39</xdr:row>
      <xdr:rowOff>0</xdr:rowOff>
    </xdr:to>
    <xdr:sp macro="" textlink="">
      <xdr:nvSpPr>
        <xdr:cNvPr id="13" name="TextBox 12"/>
        <xdr:cNvSpPr txBox="1"/>
      </xdr:nvSpPr>
      <xdr:spPr>
        <a:xfrm>
          <a:off x="333375" y="19373850"/>
          <a:ext cx="5468408"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4 </a:t>
          </a:r>
          <a:r>
            <a:rPr lang="en-US" sz="1600" b="1">
              <a:solidFill>
                <a:srgbClr val="56A12D"/>
              </a:solidFill>
            </a:rPr>
            <a:t>- </a:t>
          </a:r>
          <a:r>
            <a:rPr lang="en-US" sz="1600" b="1">
              <a:solidFill>
                <a:srgbClr val="122B4A"/>
              </a:solidFill>
            </a:rPr>
            <a:t> Winter Feed for Replacement Heifers</a:t>
          </a:r>
        </a:p>
      </xdr:txBody>
    </xdr:sp>
    <xdr:clientData/>
  </xdr:twoCellAnchor>
  <xdr:twoCellAnchor>
    <xdr:from>
      <xdr:col>0</xdr:col>
      <xdr:colOff>323850</xdr:colOff>
      <xdr:row>38</xdr:row>
      <xdr:rowOff>190500</xdr:rowOff>
    </xdr:from>
    <xdr:to>
      <xdr:col>13</xdr:col>
      <xdr:colOff>514350</xdr:colOff>
      <xdr:row>39</xdr:row>
      <xdr:rowOff>447676</xdr:rowOff>
    </xdr:to>
    <xdr:sp macro="" textlink="">
      <xdr:nvSpPr>
        <xdr:cNvPr id="14" name="TextBox 13"/>
        <xdr:cNvSpPr txBox="1"/>
      </xdr:nvSpPr>
      <xdr:spPr>
        <a:xfrm>
          <a:off x="323850" y="11439525"/>
          <a:ext cx="7439025" cy="466726"/>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a:solidFill>
                <a:schemeClr val="bg1">
                  <a:lumMod val="50000"/>
                </a:schemeClr>
              </a:solidFill>
            </a:rPr>
            <a:t>Enter the winter feed fed to the replacement heifers - this will be</a:t>
          </a:r>
          <a:r>
            <a:rPr lang="en-US" sz="1050" i="1" baseline="0">
              <a:solidFill>
                <a:schemeClr val="bg1">
                  <a:lumMod val="50000"/>
                </a:schemeClr>
              </a:solidFill>
            </a:rPr>
            <a:t> for the time period from when they are weaned calves till spring pasture turnout. Report homegrown feed separate from purchased feed for the heifers. Do not include salt &amp; mineral in this tab.</a:t>
          </a:r>
          <a:endParaRPr lang="en-US" sz="1050" i="1">
            <a:solidFill>
              <a:schemeClr val="bg1">
                <a:lumMod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twoCellAnchor>
    <xdr:from>
      <xdr:col>0</xdr:col>
      <xdr:colOff>314325</xdr:colOff>
      <xdr:row>50</xdr:row>
      <xdr:rowOff>434065</xdr:rowOff>
    </xdr:from>
    <xdr:to>
      <xdr:col>9</xdr:col>
      <xdr:colOff>467783</xdr:colOff>
      <xdr:row>53</xdr:row>
      <xdr:rowOff>38097</xdr:rowOff>
    </xdr:to>
    <xdr:sp macro="" textlink="">
      <xdr:nvSpPr>
        <xdr:cNvPr id="15" name="TextBox 14"/>
        <xdr:cNvSpPr txBox="1"/>
      </xdr:nvSpPr>
      <xdr:spPr>
        <a:xfrm>
          <a:off x="314325" y="15537994"/>
          <a:ext cx="5582708" cy="6517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5 </a:t>
          </a:r>
          <a:r>
            <a:rPr lang="en-US" sz="1600" b="1">
              <a:solidFill>
                <a:srgbClr val="56A12D"/>
              </a:solidFill>
            </a:rPr>
            <a:t>- </a:t>
          </a:r>
          <a:r>
            <a:rPr lang="en-US" sz="1600" b="1">
              <a:solidFill>
                <a:srgbClr val="122B4A"/>
              </a:solidFill>
            </a:rPr>
            <a:t> Grazing Replacement Heifers</a:t>
          </a:r>
        </a:p>
      </xdr:txBody>
    </xdr:sp>
    <xdr:clientData/>
  </xdr:twoCellAnchor>
  <xdr:twoCellAnchor>
    <xdr:from>
      <xdr:col>1</xdr:col>
      <xdr:colOff>0</xdr:colOff>
      <xdr:row>66</xdr:row>
      <xdr:rowOff>0</xdr:rowOff>
    </xdr:from>
    <xdr:to>
      <xdr:col>20</xdr:col>
      <xdr:colOff>228600</xdr:colOff>
      <xdr:row>68</xdr:row>
      <xdr:rowOff>47625</xdr:rowOff>
    </xdr:to>
    <xdr:sp macro="" textlink="">
      <xdr:nvSpPr>
        <xdr:cNvPr id="16" name="TextBox 15"/>
        <xdr:cNvSpPr txBox="1"/>
      </xdr:nvSpPr>
      <xdr:spPr>
        <a:xfrm>
          <a:off x="333375" y="18926175"/>
          <a:ext cx="1090612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YOU HAVE NOW ENTERED ALL THE</a:t>
          </a:r>
          <a:r>
            <a:rPr lang="en-US" sz="1800" b="1" baseline="0">
              <a:solidFill>
                <a:srgbClr val="56A12D"/>
              </a:solidFill>
            </a:rPr>
            <a:t> PRODUCTION DETAILS FOR THE REPLACEMENT HEIFER ENTERPRISE!</a:t>
          </a:r>
          <a:endParaRPr lang="en-US" sz="1600" b="1">
            <a:solidFill>
              <a:srgbClr val="122B4A"/>
            </a:solidFill>
          </a:endParaRPr>
        </a:p>
      </xdr:txBody>
    </xdr:sp>
    <xdr:clientData/>
  </xdr:twoCellAnchor>
  <xdr:twoCellAnchor>
    <xdr:from>
      <xdr:col>1</xdr:col>
      <xdr:colOff>95250</xdr:colOff>
      <xdr:row>3</xdr:row>
      <xdr:rowOff>85727</xdr:rowOff>
    </xdr:from>
    <xdr:to>
      <xdr:col>18</xdr:col>
      <xdr:colOff>57149</xdr:colOff>
      <xdr:row>8</xdr:row>
      <xdr:rowOff>381000</xdr:rowOff>
    </xdr:to>
    <xdr:sp macro="" textlink="">
      <xdr:nvSpPr>
        <xdr:cNvPr id="17" name="TextBox 16"/>
        <xdr:cNvSpPr txBox="1"/>
      </xdr:nvSpPr>
      <xdr:spPr>
        <a:xfrm>
          <a:off x="428625" y="1781177"/>
          <a:ext cx="9629774" cy="2438398"/>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a:solidFill>
                <a:srgbClr val="122B4A"/>
              </a:solidFill>
            </a:rPr>
            <a:t>Helpful</a:t>
          </a:r>
          <a:r>
            <a:rPr lang="en-US" sz="1200" b="1" i="0" baseline="0">
              <a:solidFill>
                <a:srgbClr val="122B4A"/>
              </a:solidFill>
            </a:rPr>
            <a:t> Hints</a:t>
          </a:r>
          <a:endParaRPr lang="en-US" sz="1200" b="1" i="0">
            <a:solidFill>
              <a:srgbClr val="122B4A"/>
            </a:solidFill>
          </a:endParaRPr>
        </a:p>
        <a:p>
          <a:endParaRPr lang="en-US" sz="1050" i="1">
            <a:solidFill>
              <a:schemeClr val="bg1">
                <a:lumMod val="50000"/>
              </a:schemeClr>
            </a:solidFill>
          </a:endParaRPr>
        </a:p>
        <a:p>
          <a:r>
            <a:rPr lang="en-US" sz="1100" i="1">
              <a:solidFill>
                <a:schemeClr val="bg1">
                  <a:lumMod val="50000"/>
                </a:schemeClr>
              </a:solidFill>
              <a:latin typeface="+mn-lt"/>
              <a:ea typeface="+mn-ea"/>
              <a:cs typeface="+mn-cs"/>
            </a:rPr>
            <a:t>When</a:t>
          </a:r>
          <a:r>
            <a:rPr lang="en-US" sz="1100" i="1" baseline="0">
              <a:solidFill>
                <a:schemeClr val="bg1">
                  <a:lumMod val="50000"/>
                </a:schemeClr>
              </a:solidFill>
              <a:latin typeface="+mn-lt"/>
              <a:ea typeface="+mn-ea"/>
              <a:cs typeface="+mn-cs"/>
            </a:rPr>
            <a:t> analyzing the replacement heifer enterprise, you are evaluating the heifers from the point of weaning through to when a successful pregnancy is determined and she transfers into the cowherd as a bred heifer.  </a:t>
          </a:r>
        </a:p>
        <a:p>
          <a:endParaRPr lang="en-US" sz="1100" i="1" baseline="0">
            <a:solidFill>
              <a:schemeClr val="bg1">
                <a:lumMod val="50000"/>
              </a:schemeClr>
            </a:solidFill>
            <a:latin typeface="+mn-lt"/>
            <a:ea typeface="+mn-ea"/>
            <a:cs typeface="+mn-cs"/>
          </a:endParaRPr>
        </a:p>
        <a:p>
          <a:r>
            <a:rPr lang="en-US" sz="1100" i="1" baseline="0">
              <a:solidFill>
                <a:schemeClr val="bg1">
                  <a:lumMod val="50000"/>
                </a:schemeClr>
              </a:solidFill>
              <a:latin typeface="+mn-lt"/>
              <a:ea typeface="+mn-ea"/>
              <a:cs typeface="+mn-cs"/>
            </a:rPr>
            <a:t>For inventory counts you need to provide the number of heifers kept from the previous calf crop (# Retained), the number of  open heifers purchased and exposed to first breeding  (# Bought), any death loss (Deaths), all heifers sold as opens (# Opens Sold), all bred heifers sold off the ranch (# Breds Sold) and the number of bred heifers that transferred into the main cowherd (# Transfer Outs).  </a:t>
          </a:r>
        </a:p>
        <a:p>
          <a:endParaRPr lang="en-US" sz="1100" i="1" baseline="0">
            <a:solidFill>
              <a:schemeClr val="bg1">
                <a:lumMod val="50000"/>
              </a:schemeClr>
            </a:solidFill>
            <a:latin typeface="+mn-lt"/>
            <a:ea typeface="+mn-ea"/>
            <a:cs typeface="+mn-cs"/>
          </a:endParaRPr>
        </a:p>
        <a:p>
          <a:r>
            <a:rPr lang="en-US" sz="1100" i="1">
              <a:solidFill>
                <a:schemeClr val="bg1">
                  <a:lumMod val="50000"/>
                </a:schemeClr>
              </a:solidFill>
              <a:latin typeface="+mn-lt"/>
              <a:ea typeface="+mn-ea"/>
              <a:cs typeface="+mn-cs"/>
            </a:rPr>
            <a:t>The retained</a:t>
          </a:r>
          <a:r>
            <a:rPr lang="en-US" sz="1100" i="1" baseline="0">
              <a:solidFill>
                <a:schemeClr val="bg1">
                  <a:lumMod val="50000"/>
                </a:schemeClr>
              </a:solidFill>
              <a:latin typeface="+mn-lt"/>
              <a:ea typeface="+mn-ea"/>
              <a:cs typeface="+mn-cs"/>
            </a:rPr>
            <a:t> replacements from your  current calf crop will be automatically transferred into this table based on details provided in the Cow-Calf Details tab.</a:t>
          </a:r>
          <a:endParaRPr lang="en-US" sz="1100" i="1">
            <a:solidFill>
              <a:schemeClr val="bg1">
                <a:lumMod val="50000"/>
              </a:schemeClr>
            </a:solidFill>
            <a:latin typeface="+mn-lt"/>
            <a:ea typeface="+mn-ea"/>
            <a:cs typeface="+mn-cs"/>
          </a:endParaRPr>
        </a:p>
        <a:p>
          <a:endParaRPr lang="en-US" sz="1050" i="1">
            <a:solidFill>
              <a:schemeClr val="bg1">
                <a:lumMod val="50000"/>
              </a:schemeClr>
            </a:solidFill>
          </a:endParaRPr>
        </a:p>
        <a:p>
          <a:r>
            <a:rPr lang="en-US" sz="1050" i="1">
              <a:solidFill>
                <a:schemeClr val="bg1">
                  <a:lumMod val="50000"/>
                </a:schemeClr>
              </a:solidFill>
            </a:rPr>
            <a:t>Market values ($/head)</a:t>
          </a:r>
          <a:r>
            <a:rPr lang="en-US" sz="1050" i="1" baseline="0">
              <a:solidFill>
                <a:schemeClr val="bg1">
                  <a:lumMod val="50000"/>
                </a:schemeClr>
              </a:solidFill>
            </a:rPr>
            <a:t> need to be provided for the heifers at time of weaning (value as a weaned heifer calf based on market prices at time of weaning and weight of heifer calves) and at time of transfer to the cowherd as bred heifers (use the going market value for bred heifers at time of transfer into herd). </a:t>
          </a:r>
          <a:endParaRPr lang="en-US" sz="1050" i="1">
            <a:solidFill>
              <a:schemeClr val="bg1">
                <a:lumMod val="50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27592</xdr:colOff>
      <xdr:row>54</xdr:row>
      <xdr:rowOff>108059</xdr:rowOff>
    </xdr:from>
    <xdr:to>
      <xdr:col>19</xdr:col>
      <xdr:colOff>859659</xdr:colOff>
      <xdr:row>58</xdr:row>
      <xdr:rowOff>139481</xdr:rowOff>
    </xdr:to>
    <xdr:sp macro="" textlink="">
      <xdr:nvSpPr>
        <xdr:cNvPr id="2" name="TextBox 1"/>
        <xdr:cNvSpPr txBox="1"/>
      </xdr:nvSpPr>
      <xdr:spPr>
        <a:xfrm>
          <a:off x="360967" y="17662634"/>
          <a:ext cx="10680917" cy="793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solidFill>
                <a:srgbClr val="FF0000"/>
              </a:solidFill>
            </a:rPr>
            <a:t>TIP</a:t>
          </a:r>
          <a:r>
            <a:rPr lang="en-US" sz="1200"/>
            <a:t>: Enter the grazing details for your yearling</a:t>
          </a:r>
          <a:r>
            <a:rPr lang="en-US" sz="1200" baseline="0"/>
            <a:t> bulls (prior to their transfer to the breeding herd)</a:t>
          </a:r>
          <a:r>
            <a:rPr lang="en-US" sz="1200"/>
            <a:t>.</a:t>
          </a:r>
          <a:r>
            <a:rPr lang="en-US" sz="1200" baseline="0"/>
            <a:t>  Grazing at different times of the year can have different values (ex. aftermath grazing in late fall could be valued at $0.25/hd/day) and different animal types (cow, bull, heifer) can have different grazing values.  Report grazing on deeded land separate from grazing on rented,leased, community pasture grazing.</a:t>
          </a:r>
          <a:endParaRPr lang="en-US" sz="1200"/>
        </a:p>
      </xdr:txBody>
    </xdr:sp>
    <xdr:clientData/>
  </xdr:twoCellAnchor>
  <xdr:twoCellAnchor editAs="oneCell">
    <xdr:from>
      <xdr:col>17</xdr:col>
      <xdr:colOff>19159</xdr:colOff>
      <xdr:row>0</xdr:row>
      <xdr:rowOff>68097</xdr:rowOff>
    </xdr:from>
    <xdr:to>
      <xdr:col>20</xdr:col>
      <xdr:colOff>414064</xdr:colOff>
      <xdr:row>1</xdr:row>
      <xdr:rowOff>84929</xdr:rowOff>
    </xdr:to>
    <xdr:pic>
      <xdr:nvPicPr>
        <xdr:cNvPr id="3" name="Picture 2" descr="WESTERNBEEF_logo_RGB_sml.png"/>
        <xdr:cNvPicPr>
          <a:picLocks noChangeAspect="1"/>
        </xdr:cNvPicPr>
      </xdr:nvPicPr>
      <xdr:blipFill>
        <a:blip xmlns:r="http://schemas.openxmlformats.org/officeDocument/2006/relationships" r:embed="rId1" cstate="print"/>
        <a:stretch>
          <a:fillRect/>
        </a:stretch>
      </xdr:blipFill>
      <xdr:spPr>
        <a:xfrm>
          <a:off x="9315559" y="68097"/>
          <a:ext cx="2195130" cy="750257"/>
        </a:xfrm>
        <a:prstGeom prst="rect">
          <a:avLst/>
        </a:prstGeom>
      </xdr:spPr>
    </xdr:pic>
    <xdr:clientData/>
  </xdr:twoCellAnchor>
  <xdr:twoCellAnchor>
    <xdr:from>
      <xdr:col>1</xdr:col>
      <xdr:colOff>131227</xdr:colOff>
      <xdr:row>9</xdr:row>
      <xdr:rowOff>101597</xdr:rowOff>
    </xdr:from>
    <xdr:to>
      <xdr:col>15</xdr:col>
      <xdr:colOff>790575</xdr:colOff>
      <xdr:row>10</xdr:row>
      <xdr:rowOff>104775</xdr:rowOff>
    </xdr:to>
    <xdr:sp macro="" textlink="">
      <xdr:nvSpPr>
        <xdr:cNvPr id="4" name="TextBox 3"/>
        <xdr:cNvSpPr txBox="1"/>
      </xdr:nvSpPr>
      <xdr:spPr>
        <a:xfrm>
          <a:off x="464602" y="4368797"/>
          <a:ext cx="8660348" cy="422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the ranch-raised</a:t>
          </a:r>
          <a:r>
            <a:rPr lang="en-US" sz="1600" b="1" baseline="0">
              <a:solidFill>
                <a:srgbClr val="122B4A"/>
              </a:solidFill>
            </a:rPr>
            <a:t> bull calf </a:t>
          </a:r>
          <a:r>
            <a:rPr lang="en-US" sz="1600" b="1">
              <a:solidFill>
                <a:srgbClr val="122B4A"/>
              </a:solidFill>
            </a:rPr>
            <a:t>inventory</a:t>
          </a:r>
          <a:r>
            <a:rPr lang="en-US" sz="1600" b="1" baseline="0">
              <a:solidFill>
                <a:srgbClr val="122B4A"/>
              </a:solidFill>
            </a:rPr>
            <a:t> details &amp; estimated market values</a:t>
          </a:r>
          <a:endParaRPr lang="en-US" sz="1600" b="1">
            <a:solidFill>
              <a:srgbClr val="122B4A"/>
            </a:solidFill>
          </a:endParaRPr>
        </a:p>
      </xdr:txBody>
    </xdr:sp>
    <xdr:clientData/>
  </xdr:twoCellAnchor>
  <xdr:twoCellAnchor>
    <xdr:from>
      <xdr:col>1</xdr:col>
      <xdr:colOff>19050</xdr:colOff>
      <xdr:row>16</xdr:row>
      <xdr:rowOff>0</xdr:rowOff>
    </xdr:from>
    <xdr:to>
      <xdr:col>9</xdr:col>
      <xdr:colOff>505883</xdr:colOff>
      <xdr:row>17</xdr:row>
      <xdr:rowOff>0</xdr:rowOff>
    </xdr:to>
    <xdr:sp macro="" textlink="">
      <xdr:nvSpPr>
        <xdr:cNvPr id="5" name="TextBox 4"/>
        <xdr:cNvSpPr txBox="1"/>
      </xdr:nvSpPr>
      <xdr:spPr>
        <a:xfrm>
          <a:off x="352425" y="6200775"/>
          <a:ext cx="5554133"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2 </a:t>
          </a:r>
          <a:r>
            <a:rPr lang="en-US" sz="1600" b="1">
              <a:solidFill>
                <a:srgbClr val="56A12D"/>
              </a:solidFill>
            </a:rPr>
            <a:t>- </a:t>
          </a:r>
          <a:r>
            <a:rPr lang="en-US" sz="1600" b="1">
              <a:solidFill>
                <a:srgbClr val="122B4A"/>
              </a:solidFill>
            </a:rPr>
            <a:t>Important dates</a:t>
          </a:r>
        </a:p>
      </xdr:txBody>
    </xdr:sp>
    <xdr:clientData/>
  </xdr:twoCellAnchor>
  <xdr:twoCellAnchor>
    <xdr:from>
      <xdr:col>0</xdr:col>
      <xdr:colOff>323850</xdr:colOff>
      <xdr:row>21</xdr:row>
      <xdr:rowOff>0</xdr:rowOff>
    </xdr:from>
    <xdr:to>
      <xdr:col>9</xdr:col>
      <xdr:colOff>477308</xdr:colOff>
      <xdr:row>21</xdr:row>
      <xdr:rowOff>0</xdr:rowOff>
    </xdr:to>
    <xdr:sp macro="" textlink="">
      <xdr:nvSpPr>
        <xdr:cNvPr id="6" name="TextBox 5"/>
        <xdr:cNvSpPr txBox="1"/>
      </xdr:nvSpPr>
      <xdr:spPr>
        <a:xfrm>
          <a:off x="323850" y="7486650"/>
          <a:ext cx="5554133"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5 </a:t>
          </a:r>
          <a:r>
            <a:rPr lang="en-US" sz="1600" b="1">
              <a:solidFill>
                <a:srgbClr val="56A12D"/>
              </a:solidFill>
            </a:rPr>
            <a:t>- </a:t>
          </a:r>
          <a:r>
            <a:rPr lang="en-US" sz="1600" b="1">
              <a:solidFill>
                <a:srgbClr val="122B4A"/>
              </a:solidFill>
            </a:rPr>
            <a:t>Weaned Calf Management</a:t>
          </a:r>
        </a:p>
      </xdr:txBody>
    </xdr:sp>
    <xdr:clientData/>
  </xdr:twoCellAnchor>
  <xdr:twoCellAnchor>
    <xdr:from>
      <xdr:col>1</xdr:col>
      <xdr:colOff>0</xdr:colOff>
      <xdr:row>21</xdr:row>
      <xdr:rowOff>133350</xdr:rowOff>
    </xdr:from>
    <xdr:to>
      <xdr:col>11</xdr:col>
      <xdr:colOff>628650</xdr:colOff>
      <xdr:row>22</xdr:row>
      <xdr:rowOff>238125</xdr:rowOff>
    </xdr:to>
    <xdr:sp macro="" textlink="">
      <xdr:nvSpPr>
        <xdr:cNvPr id="7" name="TextBox 6"/>
        <xdr:cNvSpPr txBox="1"/>
      </xdr:nvSpPr>
      <xdr:spPr>
        <a:xfrm>
          <a:off x="333375" y="7620000"/>
          <a:ext cx="665797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3 </a:t>
          </a:r>
          <a:r>
            <a:rPr lang="en-US" sz="1600" b="1">
              <a:solidFill>
                <a:srgbClr val="56A12D"/>
              </a:solidFill>
            </a:rPr>
            <a:t>- </a:t>
          </a:r>
          <a:r>
            <a:rPr lang="en-US" sz="1600" b="1">
              <a:solidFill>
                <a:srgbClr val="122B4A"/>
              </a:solidFill>
            </a:rPr>
            <a:t> Sales Related to Ranch-Raised</a:t>
          </a:r>
          <a:r>
            <a:rPr lang="en-US" sz="1600" b="1" baseline="0">
              <a:solidFill>
                <a:srgbClr val="122B4A"/>
              </a:solidFill>
            </a:rPr>
            <a:t> Bull </a:t>
          </a:r>
          <a:r>
            <a:rPr lang="en-US" sz="1600" b="1">
              <a:solidFill>
                <a:srgbClr val="122B4A"/>
              </a:solidFill>
            </a:rPr>
            <a:t>Enterprise</a:t>
          </a:r>
        </a:p>
      </xdr:txBody>
    </xdr:sp>
    <xdr:clientData/>
  </xdr:twoCellAnchor>
  <xdr:twoCellAnchor>
    <xdr:from>
      <xdr:col>0</xdr:col>
      <xdr:colOff>323850</xdr:colOff>
      <xdr:row>23</xdr:row>
      <xdr:rowOff>1</xdr:rowOff>
    </xdr:from>
    <xdr:to>
      <xdr:col>13</xdr:col>
      <xdr:colOff>647700</xdr:colOff>
      <xdr:row>24</xdr:row>
      <xdr:rowOff>0</xdr:rowOff>
    </xdr:to>
    <xdr:sp macro="" textlink="">
      <xdr:nvSpPr>
        <xdr:cNvPr id="8" name="TextBox 7"/>
        <xdr:cNvSpPr txBox="1"/>
      </xdr:nvSpPr>
      <xdr:spPr>
        <a:xfrm>
          <a:off x="323850" y="8210551"/>
          <a:ext cx="7658100" cy="247649"/>
        </a:xfrm>
        <a:prstGeom prst="rect">
          <a:avLst/>
        </a:prstGeom>
        <a:no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tx1">
                  <a:lumMod val="50000"/>
                  <a:lumOff val="50000"/>
                </a:schemeClr>
              </a:solidFill>
              <a:latin typeface="+mn-lt"/>
              <a:ea typeface="+mn-ea"/>
              <a:cs typeface="+mn-cs"/>
            </a:rPr>
            <a:t>Please enter the sales of yearling bulls</a:t>
          </a:r>
          <a:r>
            <a:rPr lang="en-US" sz="1100" i="1" baseline="0">
              <a:solidFill>
                <a:schemeClr val="tx1">
                  <a:lumMod val="50000"/>
                  <a:lumOff val="50000"/>
                </a:schemeClr>
              </a:solidFill>
              <a:latin typeface="+mn-lt"/>
              <a:ea typeface="+mn-ea"/>
              <a:cs typeface="+mn-cs"/>
            </a:rPr>
            <a:t>. </a:t>
          </a:r>
          <a:r>
            <a:rPr lang="en-US" sz="1050" i="1" baseline="0">
              <a:solidFill>
                <a:schemeClr val="tx1">
                  <a:lumMod val="50000"/>
                  <a:lumOff val="50000"/>
                </a:schemeClr>
              </a:solidFill>
            </a:rPr>
            <a:t> </a:t>
          </a:r>
          <a:endParaRPr lang="en-US" sz="1050" i="1">
            <a:solidFill>
              <a:schemeClr val="tx1">
                <a:lumMod val="50000"/>
                <a:lumOff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twoCellAnchor>
    <xdr:from>
      <xdr:col>1</xdr:col>
      <xdr:colOff>0</xdr:colOff>
      <xdr:row>32</xdr:row>
      <xdr:rowOff>104775</xdr:rowOff>
    </xdr:from>
    <xdr:to>
      <xdr:col>9</xdr:col>
      <xdr:colOff>486833</xdr:colOff>
      <xdr:row>34</xdr:row>
      <xdr:rowOff>0</xdr:rowOff>
    </xdr:to>
    <xdr:sp macro="" textlink="">
      <xdr:nvSpPr>
        <xdr:cNvPr id="9" name="TextBox 8"/>
        <xdr:cNvSpPr txBox="1"/>
      </xdr:nvSpPr>
      <xdr:spPr>
        <a:xfrm>
          <a:off x="333375" y="11106150"/>
          <a:ext cx="5554133"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4 </a:t>
          </a:r>
          <a:r>
            <a:rPr lang="en-US" sz="1600" b="1">
              <a:solidFill>
                <a:srgbClr val="56A12D"/>
              </a:solidFill>
            </a:rPr>
            <a:t>- </a:t>
          </a:r>
          <a:r>
            <a:rPr lang="en-US" sz="1600" b="1">
              <a:solidFill>
                <a:srgbClr val="122B4A"/>
              </a:solidFill>
            </a:rPr>
            <a:t> Winter Feed for Ranch-Raised Bulls</a:t>
          </a:r>
        </a:p>
        <a:p>
          <a:endParaRPr lang="en-US" sz="1600" b="1">
            <a:solidFill>
              <a:srgbClr val="122B4A"/>
            </a:solidFill>
          </a:endParaRPr>
        </a:p>
      </xdr:txBody>
    </xdr:sp>
    <xdr:clientData/>
  </xdr:twoCellAnchor>
  <xdr:twoCellAnchor>
    <xdr:from>
      <xdr:col>0</xdr:col>
      <xdr:colOff>323850</xdr:colOff>
      <xdr:row>33</xdr:row>
      <xdr:rowOff>190500</xdr:rowOff>
    </xdr:from>
    <xdr:to>
      <xdr:col>13</xdr:col>
      <xdr:colOff>514350</xdr:colOff>
      <xdr:row>35</xdr:row>
      <xdr:rowOff>161925</xdr:rowOff>
    </xdr:to>
    <xdr:sp macro="" textlink="">
      <xdr:nvSpPr>
        <xdr:cNvPr id="10" name="TextBox 9"/>
        <xdr:cNvSpPr txBox="1"/>
      </xdr:nvSpPr>
      <xdr:spPr>
        <a:xfrm>
          <a:off x="323850" y="10467975"/>
          <a:ext cx="7524750" cy="685800"/>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a:solidFill>
                <a:schemeClr val="bg1">
                  <a:lumMod val="50000"/>
                </a:schemeClr>
              </a:solidFill>
            </a:rPr>
            <a:t>Enter the winter feed fed to the bull</a:t>
          </a:r>
          <a:r>
            <a:rPr lang="en-US" sz="1050" i="1" baseline="0">
              <a:solidFill>
                <a:schemeClr val="bg1">
                  <a:lumMod val="50000"/>
                </a:schemeClr>
              </a:solidFill>
            </a:rPr>
            <a:t> calves</a:t>
          </a:r>
          <a:r>
            <a:rPr lang="en-US" sz="1050" i="1">
              <a:solidFill>
                <a:schemeClr val="bg1">
                  <a:lumMod val="50000"/>
                </a:schemeClr>
              </a:solidFill>
            </a:rPr>
            <a:t> - this will be</a:t>
          </a:r>
          <a:r>
            <a:rPr lang="en-US" sz="1050" i="1" baseline="0">
              <a:solidFill>
                <a:schemeClr val="bg1">
                  <a:lumMod val="50000"/>
                </a:schemeClr>
              </a:solidFill>
            </a:rPr>
            <a:t> for the time period from when they are weaned calves till spring pasture turnout. Report homegrown feed separate from purchased feed for the bull calves. Do not include salt &amp; mineral in this tab.</a:t>
          </a:r>
          <a:endParaRPr lang="en-US" sz="1050" i="1">
            <a:solidFill>
              <a:schemeClr val="bg1">
                <a:lumMod val="50000"/>
              </a:schemeClr>
            </a:solidFill>
          </a:endParaRPr>
        </a:p>
        <a:p>
          <a:r>
            <a:rPr lang="en-US" sz="1050" i="1">
              <a:solidFill>
                <a:srgbClr val="FF0000"/>
              </a:solidFill>
            </a:rPr>
            <a:t>HERDSIRE FEED FROM ACTIVE BREEDING BULLS NEEDS TO BE INCLUDED</a:t>
          </a:r>
          <a:r>
            <a:rPr lang="en-US" sz="1050" i="1" baseline="0">
              <a:solidFill>
                <a:srgbClr val="FF0000"/>
              </a:solidFill>
            </a:rPr>
            <a:t> UNDER THE COW-CALF_INPUTFORM TAB.</a:t>
          </a:r>
          <a:endParaRPr lang="en-US" sz="1050" i="1">
            <a:solidFill>
              <a:srgbClr val="FF0000"/>
            </a:solidFill>
          </a:endParaRPr>
        </a:p>
        <a:p>
          <a:endParaRPr lang="en-US" sz="1050" i="1">
            <a:solidFill>
              <a:schemeClr val="bg1">
                <a:lumMod val="50000"/>
              </a:schemeClr>
            </a:solidFill>
          </a:endParaRPr>
        </a:p>
      </xdr:txBody>
    </xdr:sp>
    <xdr:clientData/>
  </xdr:twoCellAnchor>
  <xdr:twoCellAnchor>
    <xdr:from>
      <xdr:col>0</xdr:col>
      <xdr:colOff>314325</xdr:colOff>
      <xdr:row>44</xdr:row>
      <xdr:rowOff>161925</xdr:rowOff>
    </xdr:from>
    <xdr:to>
      <xdr:col>9</xdr:col>
      <xdr:colOff>467783</xdr:colOff>
      <xdr:row>46</xdr:row>
      <xdr:rowOff>133350</xdr:rowOff>
    </xdr:to>
    <xdr:sp macro="" textlink="">
      <xdr:nvSpPr>
        <xdr:cNvPr id="11" name="TextBox 10"/>
        <xdr:cNvSpPr txBox="1"/>
      </xdr:nvSpPr>
      <xdr:spPr>
        <a:xfrm>
          <a:off x="314325" y="14820900"/>
          <a:ext cx="5554133"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5 </a:t>
          </a:r>
          <a:r>
            <a:rPr lang="en-US" sz="1600" b="1">
              <a:solidFill>
                <a:srgbClr val="56A12D"/>
              </a:solidFill>
            </a:rPr>
            <a:t>- </a:t>
          </a:r>
          <a:r>
            <a:rPr lang="en-US" sz="1600" b="1">
              <a:solidFill>
                <a:srgbClr val="122B4A"/>
              </a:solidFill>
            </a:rPr>
            <a:t> Grazing Yearling Bulls</a:t>
          </a:r>
        </a:p>
      </xdr:txBody>
    </xdr:sp>
    <xdr:clientData/>
  </xdr:twoCellAnchor>
  <xdr:twoCellAnchor>
    <xdr:from>
      <xdr:col>1</xdr:col>
      <xdr:colOff>0</xdr:colOff>
      <xdr:row>60</xdr:row>
      <xdr:rowOff>0</xdr:rowOff>
    </xdr:from>
    <xdr:to>
      <xdr:col>20</xdr:col>
      <xdr:colOff>228600</xdr:colOff>
      <xdr:row>62</xdr:row>
      <xdr:rowOff>47625</xdr:rowOff>
    </xdr:to>
    <xdr:sp macro="" textlink="">
      <xdr:nvSpPr>
        <xdr:cNvPr id="12" name="TextBox 11"/>
        <xdr:cNvSpPr txBox="1"/>
      </xdr:nvSpPr>
      <xdr:spPr>
        <a:xfrm>
          <a:off x="333375" y="18697575"/>
          <a:ext cx="1099185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YOU HAVE NOW ENTERED ALL THE</a:t>
          </a:r>
          <a:r>
            <a:rPr lang="en-US" sz="1800" b="1" baseline="0">
              <a:solidFill>
                <a:srgbClr val="56A12D"/>
              </a:solidFill>
            </a:rPr>
            <a:t> PRODUCTION DETAILS FOR THE RANCH-RAISED BULL ENTERPRISE!</a:t>
          </a:r>
          <a:endParaRPr lang="en-US" sz="1600" b="1">
            <a:solidFill>
              <a:srgbClr val="122B4A"/>
            </a:solidFill>
          </a:endParaRPr>
        </a:p>
      </xdr:txBody>
    </xdr:sp>
    <xdr:clientData/>
  </xdr:twoCellAnchor>
  <xdr:twoCellAnchor>
    <xdr:from>
      <xdr:col>1</xdr:col>
      <xdr:colOff>95250</xdr:colOff>
      <xdr:row>3</xdr:row>
      <xdr:rowOff>85727</xdr:rowOff>
    </xdr:from>
    <xdr:to>
      <xdr:col>18</xdr:col>
      <xdr:colOff>57149</xdr:colOff>
      <xdr:row>8</xdr:row>
      <xdr:rowOff>381000</xdr:rowOff>
    </xdr:to>
    <xdr:sp macro="" textlink="">
      <xdr:nvSpPr>
        <xdr:cNvPr id="13" name="TextBox 12"/>
        <xdr:cNvSpPr txBox="1"/>
      </xdr:nvSpPr>
      <xdr:spPr>
        <a:xfrm>
          <a:off x="428625" y="1781177"/>
          <a:ext cx="9715499" cy="2438398"/>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a:solidFill>
                <a:srgbClr val="122B4A"/>
              </a:solidFill>
            </a:rPr>
            <a:t>Helpful</a:t>
          </a:r>
          <a:r>
            <a:rPr lang="en-US" sz="1200" b="1" i="0" baseline="0">
              <a:solidFill>
                <a:srgbClr val="122B4A"/>
              </a:solidFill>
            </a:rPr>
            <a:t> Hints</a:t>
          </a:r>
          <a:endParaRPr lang="en-US" sz="1200" b="1" i="0">
            <a:solidFill>
              <a:srgbClr val="122B4A"/>
            </a:solidFill>
          </a:endParaRPr>
        </a:p>
        <a:p>
          <a:endParaRPr lang="en-US" sz="1050" i="1">
            <a:solidFill>
              <a:schemeClr val="bg1">
                <a:lumMod val="50000"/>
              </a:schemeClr>
            </a:solidFill>
          </a:endParaRPr>
        </a:p>
        <a:p>
          <a:r>
            <a:rPr lang="en-US" sz="1100" i="1">
              <a:solidFill>
                <a:schemeClr val="bg1">
                  <a:lumMod val="50000"/>
                </a:schemeClr>
              </a:solidFill>
              <a:latin typeface="+mn-lt"/>
              <a:ea typeface="+mn-ea"/>
              <a:cs typeface="+mn-cs"/>
            </a:rPr>
            <a:t>When</a:t>
          </a:r>
          <a:r>
            <a:rPr lang="en-US" sz="1100" i="1" baseline="0">
              <a:solidFill>
                <a:schemeClr val="bg1">
                  <a:lumMod val="50000"/>
                </a:schemeClr>
              </a:solidFill>
              <a:latin typeface="+mn-lt"/>
              <a:ea typeface="+mn-ea"/>
              <a:cs typeface="+mn-cs"/>
            </a:rPr>
            <a:t> analyzing the ranch-raised bulls enterprise, you are evaluating the bulls from the point of weaning through to when they  are turned out for their first breeding season.  </a:t>
          </a:r>
        </a:p>
        <a:p>
          <a:endParaRPr lang="en-US" sz="1100" i="1" baseline="0">
            <a:solidFill>
              <a:schemeClr val="bg1">
                <a:lumMod val="50000"/>
              </a:schemeClr>
            </a:solidFill>
            <a:latin typeface="+mn-lt"/>
            <a:ea typeface="+mn-ea"/>
            <a:cs typeface="+mn-cs"/>
          </a:endParaRPr>
        </a:p>
        <a:p>
          <a:r>
            <a:rPr lang="en-US" sz="1100" i="1" baseline="0">
              <a:solidFill>
                <a:schemeClr val="bg1">
                  <a:lumMod val="50000"/>
                </a:schemeClr>
              </a:solidFill>
              <a:latin typeface="+mn-lt"/>
              <a:ea typeface="+mn-ea"/>
              <a:cs typeface="+mn-cs"/>
            </a:rPr>
            <a:t>For opening inventory, provide the number of bulls kept from the previous calf crop, any death loss (Deaths), all bulls sold (semen test failure) and all bulls sold off the ranch (# Sold)  as breeding stock, and the number of bulls that transferred into the main herd for breeding (# Transfer Outs).  </a:t>
          </a:r>
        </a:p>
        <a:p>
          <a:endParaRPr lang="en-US" sz="1100" i="1" baseline="0">
            <a:solidFill>
              <a:schemeClr val="bg1">
                <a:lumMod val="50000"/>
              </a:schemeClr>
            </a:solidFill>
            <a:latin typeface="+mn-lt"/>
            <a:ea typeface="+mn-ea"/>
            <a:cs typeface="+mn-cs"/>
          </a:endParaRPr>
        </a:p>
        <a:p>
          <a:r>
            <a:rPr lang="en-US" sz="1100" i="1" baseline="0">
              <a:solidFill>
                <a:schemeClr val="bg1">
                  <a:lumMod val="50000"/>
                </a:schemeClr>
              </a:solidFill>
              <a:latin typeface="+mn-lt"/>
              <a:ea typeface="+mn-ea"/>
              <a:cs typeface="+mn-cs"/>
            </a:rPr>
            <a:t>Any bulls retained from the current year's calf crop will be automatically transferred into this table based on details provided in the "1.Cow-Calf_InputForm" tab.</a:t>
          </a:r>
          <a:endParaRPr lang="en-US" sz="1100" i="1">
            <a:solidFill>
              <a:schemeClr val="bg1">
                <a:lumMod val="50000"/>
              </a:schemeClr>
            </a:solidFill>
            <a:latin typeface="+mn-lt"/>
            <a:ea typeface="+mn-ea"/>
            <a:cs typeface="+mn-cs"/>
          </a:endParaRPr>
        </a:p>
        <a:p>
          <a:endParaRPr lang="en-US" sz="1050" i="1">
            <a:solidFill>
              <a:schemeClr val="bg1">
                <a:lumMod val="50000"/>
              </a:schemeClr>
            </a:solidFill>
          </a:endParaRPr>
        </a:p>
        <a:p>
          <a:r>
            <a:rPr lang="en-US" sz="1050" i="1">
              <a:solidFill>
                <a:schemeClr val="bg1">
                  <a:lumMod val="50000"/>
                </a:schemeClr>
              </a:solidFill>
            </a:rPr>
            <a:t>Market values ($/head)</a:t>
          </a:r>
          <a:r>
            <a:rPr lang="en-US" sz="1050" i="1" baseline="0">
              <a:solidFill>
                <a:schemeClr val="bg1">
                  <a:lumMod val="50000"/>
                </a:schemeClr>
              </a:solidFill>
            </a:rPr>
            <a:t> need to be provided for the bulls at time of weaning (value as a weaned bull calf based on market prices at time of weaning and weight of bull calves) and at time of transfer to the breeding herd as yearling bulls (use the going market value for yearling bulls at time of transfer into herd). </a:t>
          </a:r>
          <a:endParaRPr lang="en-US" sz="1050" i="1">
            <a:solidFill>
              <a:schemeClr val="bg1">
                <a:lumMod val="50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3</xdr:row>
      <xdr:rowOff>295275</xdr:rowOff>
    </xdr:from>
    <xdr:to>
      <xdr:col>19</xdr:col>
      <xdr:colOff>104774</xdr:colOff>
      <xdr:row>8</xdr:row>
      <xdr:rowOff>342900</xdr:rowOff>
    </xdr:to>
    <xdr:sp macro="" textlink="">
      <xdr:nvSpPr>
        <xdr:cNvPr id="2" name="TextBox 1"/>
        <xdr:cNvSpPr txBox="1"/>
      </xdr:nvSpPr>
      <xdr:spPr>
        <a:xfrm>
          <a:off x="447675" y="1990725"/>
          <a:ext cx="9782174" cy="2190750"/>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a:solidFill>
                <a:srgbClr val="122B4A"/>
              </a:solidFill>
            </a:rPr>
            <a:t>Helpful</a:t>
          </a:r>
          <a:r>
            <a:rPr lang="en-US" sz="1200" b="1" i="0" baseline="0">
              <a:solidFill>
                <a:srgbClr val="122B4A"/>
              </a:solidFill>
            </a:rPr>
            <a:t> Hints</a:t>
          </a:r>
          <a:endParaRPr lang="en-US" sz="1200" b="1" i="0">
            <a:solidFill>
              <a:srgbClr val="122B4A"/>
            </a:solidFill>
          </a:endParaRPr>
        </a:p>
        <a:p>
          <a:endParaRPr lang="en-US" sz="1050" i="1">
            <a:solidFill>
              <a:schemeClr val="bg1">
                <a:lumMod val="50000"/>
              </a:schemeClr>
            </a:solidFill>
          </a:endParaRPr>
        </a:p>
        <a:p>
          <a:r>
            <a:rPr lang="en-US" sz="1100" i="1">
              <a:solidFill>
                <a:schemeClr val="bg1">
                  <a:lumMod val="50000"/>
                </a:schemeClr>
              </a:solidFill>
              <a:latin typeface="+mn-lt"/>
              <a:ea typeface="+mn-ea"/>
              <a:cs typeface="+mn-cs"/>
            </a:rPr>
            <a:t>When</a:t>
          </a:r>
          <a:r>
            <a:rPr lang="en-US" sz="1100" i="1" baseline="0">
              <a:solidFill>
                <a:schemeClr val="bg1">
                  <a:lumMod val="50000"/>
                </a:schemeClr>
              </a:solidFill>
              <a:latin typeface="+mn-lt"/>
              <a:ea typeface="+mn-ea"/>
              <a:cs typeface="+mn-cs"/>
            </a:rPr>
            <a:t> analyzing the backgrounder enterprise, you are evaluating the calves post-weaning until they are sold the follow spring or turned out to grass thereby becoming a part of your Grasser Enterprise or till they are transferred into your own feedlot  for finishing (become part of your Finisher Enterprise) .  </a:t>
          </a:r>
        </a:p>
        <a:p>
          <a:endParaRPr lang="en-US" sz="1100" i="1" baseline="0">
            <a:solidFill>
              <a:schemeClr val="bg1">
                <a:lumMod val="50000"/>
              </a:schemeClr>
            </a:solidFill>
            <a:latin typeface="+mn-lt"/>
            <a:ea typeface="+mn-ea"/>
            <a:cs typeface="+mn-cs"/>
          </a:endParaRPr>
        </a:p>
        <a:p>
          <a:r>
            <a:rPr lang="en-US" sz="1100" i="1" baseline="0">
              <a:solidFill>
                <a:schemeClr val="bg1">
                  <a:lumMod val="50000"/>
                </a:schemeClr>
              </a:solidFill>
              <a:latin typeface="+mn-lt"/>
              <a:ea typeface="+mn-ea"/>
              <a:cs typeface="+mn-cs"/>
            </a:rPr>
            <a:t>For inventory counts you need to provide the number of steers and heifers grassed, the number of  additional head purchased for grassing (# Bought), any death loss (Deaths), all grassers sold (# Sold), and the number of grassers that transferred into your feedlot (Transfer to Finisher ).  </a:t>
          </a:r>
        </a:p>
        <a:p>
          <a:endParaRPr lang="en-US" sz="1100" i="1" baseline="0">
            <a:solidFill>
              <a:schemeClr val="bg1">
                <a:lumMod val="50000"/>
              </a:schemeClr>
            </a:solidFill>
            <a:latin typeface="+mn-lt"/>
            <a:ea typeface="+mn-ea"/>
            <a:cs typeface="+mn-cs"/>
          </a:endParaRPr>
        </a:p>
        <a:p>
          <a:r>
            <a:rPr lang="en-US" sz="1100" i="1">
              <a:solidFill>
                <a:schemeClr val="bg1">
                  <a:lumMod val="50000"/>
                </a:schemeClr>
              </a:solidFill>
              <a:latin typeface="+mn-lt"/>
              <a:ea typeface="+mn-ea"/>
              <a:cs typeface="+mn-cs"/>
            </a:rPr>
            <a:t>The grassers from your own</a:t>
          </a:r>
          <a:r>
            <a:rPr lang="en-US" sz="1100" i="1" baseline="0">
              <a:solidFill>
                <a:schemeClr val="bg1">
                  <a:lumMod val="50000"/>
                </a:schemeClr>
              </a:solidFill>
              <a:latin typeface="+mn-lt"/>
              <a:ea typeface="+mn-ea"/>
              <a:cs typeface="+mn-cs"/>
            </a:rPr>
            <a:t> backgrounded calves will be automatically transferred into this table based on details provided in the "Backgrounder_InputForm" tab.</a:t>
          </a:r>
          <a:endParaRPr lang="en-US" sz="1100" i="1">
            <a:solidFill>
              <a:schemeClr val="bg1">
                <a:lumMod val="50000"/>
              </a:schemeClr>
            </a:solidFill>
            <a:latin typeface="+mn-lt"/>
            <a:ea typeface="+mn-ea"/>
            <a:cs typeface="+mn-cs"/>
          </a:endParaRPr>
        </a:p>
        <a:p>
          <a:endParaRPr lang="en-US" sz="1050" i="1">
            <a:solidFill>
              <a:schemeClr val="bg1">
                <a:lumMod val="50000"/>
              </a:schemeClr>
            </a:solidFill>
          </a:endParaRPr>
        </a:p>
        <a:p>
          <a:r>
            <a:rPr lang="en-US" sz="1050" i="1">
              <a:solidFill>
                <a:schemeClr val="bg1">
                  <a:lumMod val="50000"/>
                </a:schemeClr>
              </a:solidFill>
            </a:rPr>
            <a:t>Market values ($/lb) </a:t>
          </a:r>
          <a:r>
            <a:rPr lang="en-US" sz="1050" i="1" baseline="0">
              <a:solidFill>
                <a:schemeClr val="bg1">
                  <a:lumMod val="50000"/>
                </a:schemeClr>
              </a:solidFill>
            </a:rPr>
            <a:t>for the grassers at time of pasture turnout will come from your Backgrounder_InputForm. Market values for grassers transferred to your feedlot will need to be provided (if applicable). </a:t>
          </a:r>
          <a:endParaRPr lang="en-US" sz="1050" i="1">
            <a:solidFill>
              <a:schemeClr val="bg1">
                <a:lumMod val="50000"/>
              </a:schemeClr>
            </a:solidFill>
          </a:endParaRPr>
        </a:p>
      </xdr:txBody>
    </xdr:sp>
    <xdr:clientData/>
  </xdr:twoCellAnchor>
  <xdr:twoCellAnchor editAs="oneCell">
    <xdr:from>
      <xdr:col>15</xdr:col>
      <xdr:colOff>523875</xdr:colOff>
      <xdr:row>0</xdr:row>
      <xdr:rowOff>104775</xdr:rowOff>
    </xdr:from>
    <xdr:to>
      <xdr:col>19</xdr:col>
      <xdr:colOff>871155</xdr:colOff>
      <xdr:row>1</xdr:row>
      <xdr:rowOff>121607</xdr:rowOff>
    </xdr:to>
    <xdr:pic>
      <xdr:nvPicPr>
        <xdr:cNvPr id="3" name="Picture 2" descr="WESTERNBEEF_logo_RGB_sml.png"/>
        <xdr:cNvPicPr>
          <a:picLocks noChangeAspect="1"/>
        </xdr:cNvPicPr>
      </xdr:nvPicPr>
      <xdr:blipFill>
        <a:blip xmlns:r="http://schemas.openxmlformats.org/officeDocument/2006/relationships" r:embed="rId1" cstate="print"/>
        <a:stretch>
          <a:fillRect/>
        </a:stretch>
      </xdr:blipFill>
      <xdr:spPr>
        <a:xfrm>
          <a:off x="8801100" y="104775"/>
          <a:ext cx="2195130" cy="750257"/>
        </a:xfrm>
        <a:prstGeom prst="rect">
          <a:avLst/>
        </a:prstGeom>
      </xdr:spPr>
    </xdr:pic>
    <xdr:clientData/>
  </xdr:twoCellAnchor>
  <xdr:twoCellAnchor>
    <xdr:from>
      <xdr:col>1</xdr:col>
      <xdr:colOff>123825</xdr:colOff>
      <xdr:row>9</xdr:row>
      <xdr:rowOff>104775</xdr:rowOff>
    </xdr:from>
    <xdr:to>
      <xdr:col>16</xdr:col>
      <xdr:colOff>2123</xdr:colOff>
      <xdr:row>9</xdr:row>
      <xdr:rowOff>527053</xdr:rowOff>
    </xdr:to>
    <xdr:sp macro="" textlink="">
      <xdr:nvSpPr>
        <xdr:cNvPr id="4" name="TextBox 3"/>
        <xdr:cNvSpPr txBox="1"/>
      </xdr:nvSpPr>
      <xdr:spPr>
        <a:xfrm>
          <a:off x="457200" y="4371975"/>
          <a:ext cx="8660348" cy="422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the backgrounder inventory</a:t>
          </a:r>
          <a:r>
            <a:rPr lang="en-US" sz="1600" b="1" baseline="0">
              <a:solidFill>
                <a:srgbClr val="122B4A"/>
              </a:solidFill>
            </a:rPr>
            <a:t> details &amp; estimated market values</a:t>
          </a:r>
          <a:endParaRPr lang="en-US" sz="1600" b="1">
            <a:solidFill>
              <a:srgbClr val="122B4A"/>
            </a:solidFill>
          </a:endParaRPr>
        </a:p>
      </xdr:txBody>
    </xdr:sp>
    <xdr:clientData/>
  </xdr:twoCellAnchor>
  <xdr:twoCellAnchor>
    <xdr:from>
      <xdr:col>0</xdr:col>
      <xdr:colOff>323850</xdr:colOff>
      <xdr:row>17</xdr:row>
      <xdr:rowOff>228600</xdr:rowOff>
    </xdr:from>
    <xdr:to>
      <xdr:col>9</xdr:col>
      <xdr:colOff>534458</xdr:colOff>
      <xdr:row>18</xdr:row>
      <xdr:rowOff>447675</xdr:rowOff>
    </xdr:to>
    <xdr:sp macro="" textlink="">
      <xdr:nvSpPr>
        <xdr:cNvPr id="5" name="TextBox 4"/>
        <xdr:cNvSpPr txBox="1"/>
      </xdr:nvSpPr>
      <xdr:spPr>
        <a:xfrm>
          <a:off x="323850" y="6686550"/>
          <a:ext cx="5554133"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2 </a:t>
          </a:r>
          <a:r>
            <a:rPr lang="en-US" sz="1600" b="1">
              <a:solidFill>
                <a:srgbClr val="56A12D"/>
              </a:solidFill>
            </a:rPr>
            <a:t>- </a:t>
          </a:r>
          <a:r>
            <a:rPr lang="en-US" sz="1600" b="1">
              <a:solidFill>
                <a:srgbClr val="122B4A"/>
              </a:solidFill>
            </a:rPr>
            <a:t>Important dates</a:t>
          </a:r>
        </a:p>
      </xdr:txBody>
    </xdr:sp>
    <xdr:clientData/>
  </xdr:twoCellAnchor>
  <xdr:twoCellAnchor>
    <xdr:from>
      <xdr:col>1</xdr:col>
      <xdr:colOff>85725</xdr:colOff>
      <xdr:row>26</xdr:row>
      <xdr:rowOff>76200</xdr:rowOff>
    </xdr:from>
    <xdr:to>
      <xdr:col>11</xdr:col>
      <xdr:colOff>771525</xdr:colOff>
      <xdr:row>27</xdr:row>
      <xdr:rowOff>180975</xdr:rowOff>
    </xdr:to>
    <xdr:sp macro="" textlink="">
      <xdr:nvSpPr>
        <xdr:cNvPr id="6" name="TextBox 5"/>
        <xdr:cNvSpPr txBox="1"/>
      </xdr:nvSpPr>
      <xdr:spPr>
        <a:xfrm>
          <a:off x="419100" y="8505825"/>
          <a:ext cx="665797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3 </a:t>
          </a:r>
          <a:r>
            <a:rPr lang="en-US" sz="1600" b="1">
              <a:solidFill>
                <a:srgbClr val="56A12D"/>
              </a:solidFill>
            </a:rPr>
            <a:t>- </a:t>
          </a:r>
          <a:r>
            <a:rPr lang="en-US" sz="1600" b="1">
              <a:solidFill>
                <a:srgbClr val="122B4A"/>
              </a:solidFill>
            </a:rPr>
            <a:t> Sales &amp; Purchases Related to Backgrounder Enterprise</a:t>
          </a:r>
        </a:p>
      </xdr:txBody>
    </xdr:sp>
    <xdr:clientData/>
  </xdr:twoCellAnchor>
  <xdr:twoCellAnchor>
    <xdr:from>
      <xdr:col>1</xdr:col>
      <xdr:colOff>19050</xdr:colOff>
      <xdr:row>40</xdr:row>
      <xdr:rowOff>0</xdr:rowOff>
    </xdr:from>
    <xdr:to>
      <xdr:col>9</xdr:col>
      <xdr:colOff>563033</xdr:colOff>
      <xdr:row>41</xdr:row>
      <xdr:rowOff>133350</xdr:rowOff>
    </xdr:to>
    <xdr:sp macro="" textlink="">
      <xdr:nvSpPr>
        <xdr:cNvPr id="7" name="TextBox 6"/>
        <xdr:cNvSpPr txBox="1"/>
      </xdr:nvSpPr>
      <xdr:spPr>
        <a:xfrm>
          <a:off x="352425" y="12192000"/>
          <a:ext cx="5554133"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4 </a:t>
          </a:r>
          <a:r>
            <a:rPr lang="en-US" sz="1600" b="1">
              <a:solidFill>
                <a:srgbClr val="56A12D"/>
              </a:solidFill>
            </a:rPr>
            <a:t>- </a:t>
          </a:r>
          <a:r>
            <a:rPr lang="en-US" sz="1600" b="1">
              <a:solidFill>
                <a:srgbClr val="122B4A"/>
              </a:solidFill>
            </a:rPr>
            <a:t> Feed for Backgrounders</a:t>
          </a:r>
        </a:p>
      </xdr:txBody>
    </xdr:sp>
    <xdr:clientData/>
  </xdr:twoCellAnchor>
  <xdr:twoCellAnchor>
    <xdr:from>
      <xdr:col>1</xdr:col>
      <xdr:colOff>76200</xdr:colOff>
      <xdr:row>41</xdr:row>
      <xdr:rowOff>95250</xdr:rowOff>
    </xdr:from>
    <xdr:to>
      <xdr:col>13</xdr:col>
      <xdr:colOff>657225</xdr:colOff>
      <xdr:row>42</xdr:row>
      <xdr:rowOff>209551</xdr:rowOff>
    </xdr:to>
    <xdr:sp macro="" textlink="">
      <xdr:nvSpPr>
        <xdr:cNvPr id="8" name="TextBox 7"/>
        <xdr:cNvSpPr txBox="1"/>
      </xdr:nvSpPr>
      <xdr:spPr>
        <a:xfrm>
          <a:off x="409575" y="12011025"/>
          <a:ext cx="7524750" cy="619126"/>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a:solidFill>
                <a:schemeClr val="bg1">
                  <a:lumMod val="50000"/>
                </a:schemeClr>
              </a:solidFill>
            </a:rPr>
            <a:t>Enter the winter feed fed to the backgrounders - this will be</a:t>
          </a:r>
          <a:r>
            <a:rPr lang="en-US" sz="1050" i="1" baseline="0">
              <a:solidFill>
                <a:schemeClr val="bg1">
                  <a:lumMod val="50000"/>
                </a:schemeClr>
              </a:solidFill>
            </a:rPr>
            <a:t> for the time period from when they are weaned calves till spring sale or pasture turnout or placement on full feed for finishing. Report homegrown feed separate from purchased feed for the backgrounders. Do not include salt &amp; mineral in this tab.</a:t>
          </a:r>
          <a:endParaRPr lang="en-US" sz="1050" i="1">
            <a:solidFill>
              <a:schemeClr val="bg1">
                <a:lumMod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twoCellAnchor>
    <xdr:from>
      <xdr:col>0</xdr:col>
      <xdr:colOff>148181</xdr:colOff>
      <xdr:row>53</xdr:row>
      <xdr:rowOff>52916</xdr:rowOff>
    </xdr:from>
    <xdr:to>
      <xdr:col>20</xdr:col>
      <xdr:colOff>91031</xdr:colOff>
      <xdr:row>55</xdr:row>
      <xdr:rowOff>100541</xdr:rowOff>
    </xdr:to>
    <xdr:sp macro="" textlink="">
      <xdr:nvSpPr>
        <xdr:cNvPr id="9" name="TextBox 8"/>
        <xdr:cNvSpPr txBox="1"/>
      </xdr:nvSpPr>
      <xdr:spPr>
        <a:xfrm>
          <a:off x="148181" y="15218833"/>
          <a:ext cx="11002433"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YOU HAVE NOW ENTERED ALL THE</a:t>
          </a:r>
          <a:r>
            <a:rPr lang="en-US" sz="1800" b="1" baseline="0">
              <a:solidFill>
                <a:srgbClr val="56A12D"/>
              </a:solidFill>
            </a:rPr>
            <a:t> PRODUCTION DETAILS FOR THE BACKGROUNDER ENTERPRISE!</a:t>
          </a:r>
          <a:endParaRPr lang="en-US" sz="1600" b="1">
            <a:solidFill>
              <a:srgbClr val="122B4A"/>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76201</xdr:rowOff>
    </xdr:from>
    <xdr:to>
      <xdr:col>17</xdr:col>
      <xdr:colOff>752474</xdr:colOff>
      <xdr:row>8</xdr:row>
      <xdr:rowOff>400051</xdr:rowOff>
    </xdr:to>
    <xdr:sp macro="" textlink="">
      <xdr:nvSpPr>
        <xdr:cNvPr id="2" name="TextBox 1"/>
        <xdr:cNvSpPr txBox="1"/>
      </xdr:nvSpPr>
      <xdr:spPr>
        <a:xfrm>
          <a:off x="333375" y="1771651"/>
          <a:ext cx="9658349" cy="2190750"/>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a:solidFill>
                <a:srgbClr val="122B4A"/>
              </a:solidFill>
            </a:rPr>
            <a:t>Helpful</a:t>
          </a:r>
          <a:r>
            <a:rPr lang="en-US" sz="1200" b="1" i="0" baseline="0">
              <a:solidFill>
                <a:srgbClr val="122B4A"/>
              </a:solidFill>
            </a:rPr>
            <a:t> Hints</a:t>
          </a:r>
          <a:endParaRPr lang="en-US" sz="1200" b="1" i="0">
            <a:solidFill>
              <a:srgbClr val="122B4A"/>
            </a:solidFill>
          </a:endParaRPr>
        </a:p>
        <a:p>
          <a:endParaRPr lang="en-US" sz="1050" i="1">
            <a:solidFill>
              <a:schemeClr val="bg1">
                <a:lumMod val="50000"/>
              </a:schemeClr>
            </a:solidFill>
          </a:endParaRPr>
        </a:p>
        <a:p>
          <a:r>
            <a:rPr lang="en-US" sz="1100" i="1">
              <a:solidFill>
                <a:schemeClr val="bg1">
                  <a:lumMod val="50000"/>
                </a:schemeClr>
              </a:solidFill>
              <a:latin typeface="+mn-lt"/>
              <a:ea typeface="+mn-ea"/>
              <a:cs typeface="+mn-cs"/>
            </a:rPr>
            <a:t>When</a:t>
          </a:r>
          <a:r>
            <a:rPr lang="en-US" sz="1100" i="1" baseline="0">
              <a:solidFill>
                <a:schemeClr val="bg1">
                  <a:lumMod val="50000"/>
                </a:schemeClr>
              </a:solidFill>
              <a:latin typeface="+mn-lt"/>
              <a:ea typeface="+mn-ea"/>
              <a:cs typeface="+mn-cs"/>
            </a:rPr>
            <a:t> analyzing the grasser enterprise, you are evaluating the feeders post-backgrounding phase at the time of turnout to grass in the spring till when they are sold in the fall or transferred into your own feedlot  for finishing .  </a:t>
          </a:r>
        </a:p>
        <a:p>
          <a:endParaRPr lang="en-US" sz="1100" i="1" baseline="0">
            <a:solidFill>
              <a:schemeClr val="bg1">
                <a:lumMod val="50000"/>
              </a:schemeClr>
            </a:solidFill>
            <a:latin typeface="+mn-lt"/>
            <a:ea typeface="+mn-ea"/>
            <a:cs typeface="+mn-cs"/>
          </a:endParaRPr>
        </a:p>
        <a:p>
          <a:r>
            <a:rPr lang="en-US" sz="1100" i="1" baseline="0">
              <a:solidFill>
                <a:schemeClr val="bg1">
                  <a:lumMod val="50000"/>
                </a:schemeClr>
              </a:solidFill>
              <a:latin typeface="+mn-lt"/>
              <a:ea typeface="+mn-ea"/>
              <a:cs typeface="+mn-cs"/>
            </a:rPr>
            <a:t>For inventory counts you need to provide the number of steers and heifers grassed, the number of  additional head purchased for grassing (# Bought), any death loss (Deaths), all grassers sold (# Sold), and the number of grassers that transferred into your feedlot (Transfer to Finisher ).  </a:t>
          </a:r>
        </a:p>
        <a:p>
          <a:endParaRPr lang="en-US" sz="1100" i="1" baseline="0">
            <a:solidFill>
              <a:schemeClr val="bg1">
                <a:lumMod val="50000"/>
              </a:schemeClr>
            </a:solidFill>
            <a:latin typeface="+mn-lt"/>
            <a:ea typeface="+mn-ea"/>
            <a:cs typeface="+mn-cs"/>
          </a:endParaRPr>
        </a:p>
        <a:p>
          <a:r>
            <a:rPr lang="en-US" sz="1100" i="1">
              <a:solidFill>
                <a:schemeClr val="bg1">
                  <a:lumMod val="50000"/>
                </a:schemeClr>
              </a:solidFill>
              <a:latin typeface="+mn-lt"/>
              <a:ea typeface="+mn-ea"/>
              <a:cs typeface="+mn-cs"/>
            </a:rPr>
            <a:t>The grassers from your own</a:t>
          </a:r>
          <a:r>
            <a:rPr lang="en-US" sz="1100" i="1" baseline="0">
              <a:solidFill>
                <a:schemeClr val="bg1">
                  <a:lumMod val="50000"/>
                </a:schemeClr>
              </a:solidFill>
              <a:latin typeface="+mn-lt"/>
              <a:ea typeface="+mn-ea"/>
              <a:cs typeface="+mn-cs"/>
            </a:rPr>
            <a:t> backgrounded calves will be automatically transferred into this table based on details provided in the "Backgrounder_InputForm" tab.</a:t>
          </a:r>
          <a:endParaRPr lang="en-US" sz="1100" i="1">
            <a:solidFill>
              <a:schemeClr val="bg1">
                <a:lumMod val="50000"/>
              </a:schemeClr>
            </a:solidFill>
            <a:latin typeface="+mn-lt"/>
            <a:ea typeface="+mn-ea"/>
            <a:cs typeface="+mn-cs"/>
          </a:endParaRPr>
        </a:p>
        <a:p>
          <a:endParaRPr lang="en-US" sz="1050" i="1">
            <a:solidFill>
              <a:schemeClr val="bg1">
                <a:lumMod val="50000"/>
              </a:schemeClr>
            </a:solidFill>
          </a:endParaRPr>
        </a:p>
        <a:p>
          <a:r>
            <a:rPr lang="en-US" sz="1050" i="1">
              <a:solidFill>
                <a:schemeClr val="bg1">
                  <a:lumMod val="50000"/>
                </a:schemeClr>
              </a:solidFill>
            </a:rPr>
            <a:t>Market values ($/lb) </a:t>
          </a:r>
          <a:r>
            <a:rPr lang="en-US" sz="1050" i="1" baseline="0">
              <a:solidFill>
                <a:schemeClr val="bg1">
                  <a:lumMod val="50000"/>
                </a:schemeClr>
              </a:solidFill>
            </a:rPr>
            <a:t>for the grassers at time of pasture turnout will come from your Backgrounder_InputForm. Market values for grassers transferred to your feedlot will need to be provided (if applicable). </a:t>
          </a:r>
          <a:endParaRPr lang="en-US" sz="1050" i="1">
            <a:solidFill>
              <a:schemeClr val="bg1">
                <a:lumMod val="50000"/>
              </a:schemeClr>
            </a:solidFill>
          </a:endParaRPr>
        </a:p>
      </xdr:txBody>
    </xdr:sp>
    <xdr:clientData/>
  </xdr:twoCellAnchor>
  <xdr:twoCellAnchor editAs="oneCell">
    <xdr:from>
      <xdr:col>15</xdr:col>
      <xdr:colOff>142875</xdr:colOff>
      <xdr:row>0</xdr:row>
      <xdr:rowOff>95250</xdr:rowOff>
    </xdr:from>
    <xdr:to>
      <xdr:col>19</xdr:col>
      <xdr:colOff>490155</xdr:colOff>
      <xdr:row>1</xdr:row>
      <xdr:rowOff>112082</xdr:rowOff>
    </xdr:to>
    <xdr:pic>
      <xdr:nvPicPr>
        <xdr:cNvPr id="3" name="Picture 2" descr="WESTERNBEEF_logo_RGB_sml.png"/>
        <xdr:cNvPicPr>
          <a:picLocks noChangeAspect="1"/>
        </xdr:cNvPicPr>
      </xdr:nvPicPr>
      <xdr:blipFill>
        <a:blip xmlns:r="http://schemas.openxmlformats.org/officeDocument/2006/relationships" r:embed="rId1" cstate="print"/>
        <a:stretch>
          <a:fillRect/>
        </a:stretch>
      </xdr:blipFill>
      <xdr:spPr>
        <a:xfrm>
          <a:off x="8420100" y="95250"/>
          <a:ext cx="2195130" cy="750257"/>
        </a:xfrm>
        <a:prstGeom prst="rect">
          <a:avLst/>
        </a:prstGeom>
      </xdr:spPr>
    </xdr:pic>
    <xdr:clientData/>
  </xdr:twoCellAnchor>
  <xdr:twoCellAnchor>
    <xdr:from>
      <xdr:col>1</xdr:col>
      <xdr:colOff>0</xdr:colOff>
      <xdr:row>9</xdr:row>
      <xdr:rowOff>0</xdr:rowOff>
    </xdr:from>
    <xdr:to>
      <xdr:col>15</xdr:col>
      <xdr:colOff>659348</xdr:colOff>
      <xdr:row>10</xdr:row>
      <xdr:rowOff>60328</xdr:rowOff>
    </xdr:to>
    <xdr:sp macro="" textlink="">
      <xdr:nvSpPr>
        <xdr:cNvPr id="4" name="TextBox 3"/>
        <xdr:cNvSpPr txBox="1"/>
      </xdr:nvSpPr>
      <xdr:spPr>
        <a:xfrm>
          <a:off x="333375" y="3990975"/>
          <a:ext cx="8603198" cy="374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the grasser inventory</a:t>
          </a:r>
          <a:r>
            <a:rPr lang="en-US" sz="1600" b="1" baseline="0">
              <a:solidFill>
                <a:srgbClr val="122B4A"/>
              </a:solidFill>
            </a:rPr>
            <a:t> details &amp; estimated market values</a:t>
          </a:r>
          <a:endParaRPr lang="en-US" sz="1600" b="1">
            <a:solidFill>
              <a:srgbClr val="122B4A"/>
            </a:solidFill>
          </a:endParaRPr>
        </a:p>
      </xdr:txBody>
    </xdr:sp>
    <xdr:clientData/>
  </xdr:twoCellAnchor>
  <xdr:twoCellAnchor>
    <xdr:from>
      <xdr:col>1</xdr:col>
      <xdr:colOff>133350</xdr:colOff>
      <xdr:row>18</xdr:row>
      <xdr:rowOff>0</xdr:rowOff>
    </xdr:from>
    <xdr:to>
      <xdr:col>9</xdr:col>
      <xdr:colOff>620183</xdr:colOff>
      <xdr:row>19</xdr:row>
      <xdr:rowOff>0</xdr:rowOff>
    </xdr:to>
    <xdr:sp macro="" textlink="">
      <xdr:nvSpPr>
        <xdr:cNvPr id="5" name="TextBox 4"/>
        <xdr:cNvSpPr txBox="1"/>
      </xdr:nvSpPr>
      <xdr:spPr>
        <a:xfrm>
          <a:off x="466725" y="6172200"/>
          <a:ext cx="5496983"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2 </a:t>
          </a:r>
          <a:r>
            <a:rPr lang="en-US" sz="1600" b="1">
              <a:solidFill>
                <a:srgbClr val="56A12D"/>
              </a:solidFill>
            </a:rPr>
            <a:t>- </a:t>
          </a:r>
          <a:r>
            <a:rPr lang="en-US" sz="1600" b="1">
              <a:solidFill>
                <a:srgbClr val="122B4A"/>
              </a:solidFill>
            </a:rPr>
            <a:t>Important dates</a:t>
          </a:r>
        </a:p>
      </xdr:txBody>
    </xdr:sp>
    <xdr:clientData/>
  </xdr:twoCellAnchor>
  <xdr:twoCellAnchor>
    <xdr:from>
      <xdr:col>1</xdr:col>
      <xdr:colOff>161925</xdr:colOff>
      <xdr:row>23</xdr:row>
      <xdr:rowOff>171450</xdr:rowOff>
    </xdr:from>
    <xdr:to>
      <xdr:col>11</xdr:col>
      <xdr:colOff>790575</xdr:colOff>
      <xdr:row>25</xdr:row>
      <xdr:rowOff>28575</xdr:rowOff>
    </xdr:to>
    <xdr:sp macro="" textlink="">
      <xdr:nvSpPr>
        <xdr:cNvPr id="6" name="TextBox 5"/>
        <xdr:cNvSpPr txBox="1"/>
      </xdr:nvSpPr>
      <xdr:spPr>
        <a:xfrm>
          <a:off x="495300" y="7496175"/>
          <a:ext cx="660082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3 </a:t>
          </a:r>
          <a:r>
            <a:rPr lang="en-US" sz="1600" b="1">
              <a:solidFill>
                <a:srgbClr val="56A12D"/>
              </a:solidFill>
            </a:rPr>
            <a:t>- </a:t>
          </a:r>
          <a:r>
            <a:rPr lang="en-US" sz="1600" b="1">
              <a:solidFill>
                <a:srgbClr val="122B4A"/>
              </a:solidFill>
            </a:rPr>
            <a:t> Sales &amp; Purchases Related to Grasser Enterprise</a:t>
          </a:r>
        </a:p>
      </xdr:txBody>
    </xdr:sp>
    <xdr:clientData/>
  </xdr:twoCellAnchor>
  <xdr:twoCellAnchor>
    <xdr:from>
      <xdr:col>1</xdr:col>
      <xdr:colOff>219075</xdr:colOff>
      <xdr:row>24</xdr:row>
      <xdr:rowOff>219076</xdr:rowOff>
    </xdr:from>
    <xdr:to>
      <xdr:col>13</xdr:col>
      <xdr:colOff>752475</xdr:colOff>
      <xdr:row>26</xdr:row>
      <xdr:rowOff>66676</xdr:rowOff>
    </xdr:to>
    <xdr:sp macro="" textlink="">
      <xdr:nvSpPr>
        <xdr:cNvPr id="7" name="TextBox 6"/>
        <xdr:cNvSpPr txBox="1"/>
      </xdr:nvSpPr>
      <xdr:spPr>
        <a:xfrm>
          <a:off x="552450" y="7791451"/>
          <a:ext cx="7600950" cy="342900"/>
        </a:xfrm>
        <a:prstGeom prst="rect">
          <a:avLst/>
        </a:prstGeom>
        <a:no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baseline="0">
              <a:solidFill>
                <a:schemeClr val="bg1">
                  <a:lumMod val="50000"/>
                </a:schemeClr>
              </a:solidFill>
            </a:rPr>
            <a:t>Any purchases of feeders for the purpose of grassing should also be entered in this step. </a:t>
          </a:r>
          <a:r>
            <a:rPr lang="en-US" sz="1100" i="1">
              <a:solidFill>
                <a:schemeClr val="bg1">
                  <a:lumMod val="50000"/>
                </a:schemeClr>
              </a:solidFill>
              <a:latin typeface="+mn-lt"/>
              <a:ea typeface="+mn-ea"/>
              <a:cs typeface="+mn-cs"/>
            </a:rPr>
            <a:t>Please enter the sales of grassers</a:t>
          </a:r>
          <a:r>
            <a:rPr lang="en-US" sz="1100" i="1" baseline="0">
              <a:solidFill>
                <a:schemeClr val="bg1">
                  <a:lumMod val="50000"/>
                </a:schemeClr>
              </a:solidFill>
              <a:latin typeface="+mn-lt"/>
              <a:ea typeface="+mn-ea"/>
              <a:cs typeface="+mn-cs"/>
            </a:rPr>
            <a:t>. </a:t>
          </a:r>
          <a:r>
            <a:rPr lang="en-US" sz="1050" i="1" baseline="0">
              <a:solidFill>
                <a:schemeClr val="bg1">
                  <a:lumMod val="50000"/>
                </a:schemeClr>
              </a:solidFill>
            </a:rPr>
            <a:t> </a:t>
          </a:r>
          <a:endParaRPr lang="en-US" sz="1050" i="1">
            <a:solidFill>
              <a:schemeClr val="bg1">
                <a:lumMod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twoCellAnchor>
    <xdr:from>
      <xdr:col>1</xdr:col>
      <xdr:colOff>0</xdr:colOff>
      <xdr:row>40</xdr:row>
      <xdr:rowOff>0</xdr:rowOff>
    </xdr:from>
    <xdr:to>
      <xdr:col>9</xdr:col>
      <xdr:colOff>543983</xdr:colOff>
      <xdr:row>41</xdr:row>
      <xdr:rowOff>180975</xdr:rowOff>
    </xdr:to>
    <xdr:sp macro="" textlink="">
      <xdr:nvSpPr>
        <xdr:cNvPr id="8" name="TextBox 7"/>
        <xdr:cNvSpPr txBox="1"/>
      </xdr:nvSpPr>
      <xdr:spPr>
        <a:xfrm>
          <a:off x="333375" y="10925175"/>
          <a:ext cx="5554133"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4 </a:t>
          </a:r>
          <a:r>
            <a:rPr lang="en-US" sz="1600" b="1">
              <a:solidFill>
                <a:srgbClr val="56A12D"/>
              </a:solidFill>
            </a:rPr>
            <a:t>- </a:t>
          </a:r>
          <a:r>
            <a:rPr lang="en-US" sz="1600" b="1">
              <a:solidFill>
                <a:srgbClr val="122B4A"/>
              </a:solidFill>
            </a:rPr>
            <a:t> Grazing Details for Grassers</a:t>
          </a:r>
        </a:p>
      </xdr:txBody>
    </xdr:sp>
    <xdr:clientData/>
  </xdr:twoCellAnchor>
  <xdr:twoCellAnchor>
    <xdr:from>
      <xdr:col>1</xdr:col>
      <xdr:colOff>0</xdr:colOff>
      <xdr:row>51</xdr:row>
      <xdr:rowOff>0</xdr:rowOff>
    </xdr:from>
    <xdr:to>
      <xdr:col>20</xdr:col>
      <xdr:colOff>161925</xdr:colOff>
      <xdr:row>53</xdr:row>
      <xdr:rowOff>47625</xdr:rowOff>
    </xdr:to>
    <xdr:sp macro="" textlink="">
      <xdr:nvSpPr>
        <xdr:cNvPr id="9" name="TextBox 8"/>
        <xdr:cNvSpPr txBox="1"/>
      </xdr:nvSpPr>
      <xdr:spPr>
        <a:xfrm>
          <a:off x="333375" y="14125575"/>
          <a:ext cx="1099185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YOU HAVE NOW ENTERED ALL THE</a:t>
          </a:r>
          <a:r>
            <a:rPr lang="en-US" sz="1800" b="1" baseline="0">
              <a:solidFill>
                <a:srgbClr val="56A12D"/>
              </a:solidFill>
            </a:rPr>
            <a:t> PRODUCTION DETAILS FOR THE GRASSER ENTERPRISE!</a:t>
          </a:r>
          <a:endParaRPr lang="en-US" sz="1600" b="1">
            <a:solidFill>
              <a:srgbClr val="122B4A"/>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76201</xdr:rowOff>
    </xdr:from>
    <xdr:to>
      <xdr:col>17</xdr:col>
      <xdr:colOff>752474</xdr:colOff>
      <xdr:row>7</xdr:row>
      <xdr:rowOff>400051</xdr:rowOff>
    </xdr:to>
    <xdr:sp macro="" textlink="">
      <xdr:nvSpPr>
        <xdr:cNvPr id="2" name="TextBox 1"/>
        <xdr:cNvSpPr txBox="1"/>
      </xdr:nvSpPr>
      <xdr:spPr>
        <a:xfrm>
          <a:off x="333375" y="1771651"/>
          <a:ext cx="9782174" cy="2190750"/>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a:solidFill>
                <a:srgbClr val="122B4A"/>
              </a:solidFill>
            </a:rPr>
            <a:t>Helpful</a:t>
          </a:r>
          <a:r>
            <a:rPr lang="en-US" sz="1200" b="1" i="0" baseline="0">
              <a:solidFill>
                <a:srgbClr val="122B4A"/>
              </a:solidFill>
            </a:rPr>
            <a:t> Hints - IF YOU HAVE MULTIPLE TAKE INS AND SALES, THIS TOOL IS NOT LIKELY THE BEST FIT FOR YOU DUE TO ITS SIMPLICITY. THIS TOOL IS BEST SUITED FOR PRODUCERS WITH ONE OR TWO TAKE IN PERIODS.</a:t>
          </a:r>
          <a:endParaRPr lang="en-US" sz="1200" b="1" i="0">
            <a:solidFill>
              <a:srgbClr val="122B4A"/>
            </a:solidFill>
          </a:endParaRPr>
        </a:p>
        <a:p>
          <a:endParaRPr lang="en-US" sz="1050" i="1">
            <a:solidFill>
              <a:schemeClr val="bg1">
                <a:lumMod val="50000"/>
              </a:schemeClr>
            </a:solidFill>
          </a:endParaRPr>
        </a:p>
        <a:p>
          <a:r>
            <a:rPr lang="en-US" sz="1100" i="1">
              <a:solidFill>
                <a:schemeClr val="bg1">
                  <a:lumMod val="50000"/>
                </a:schemeClr>
              </a:solidFill>
              <a:latin typeface="+mn-lt"/>
              <a:ea typeface="+mn-ea"/>
              <a:cs typeface="+mn-cs"/>
            </a:rPr>
            <a:t>When</a:t>
          </a:r>
          <a:r>
            <a:rPr lang="en-US" sz="1100" i="1" baseline="0">
              <a:solidFill>
                <a:schemeClr val="bg1">
                  <a:lumMod val="50000"/>
                </a:schemeClr>
              </a:solidFill>
              <a:latin typeface="+mn-lt"/>
              <a:ea typeface="+mn-ea"/>
              <a:cs typeface="+mn-cs"/>
            </a:rPr>
            <a:t> analyzing the finisher enterprise, you are evaluating feeders placed on full feed till slaughter-ready.</a:t>
          </a:r>
        </a:p>
        <a:p>
          <a:endParaRPr lang="en-US" sz="1100" i="1" baseline="0">
            <a:solidFill>
              <a:schemeClr val="bg1">
                <a:lumMod val="50000"/>
              </a:schemeClr>
            </a:solidFill>
            <a:latin typeface="+mn-lt"/>
            <a:ea typeface="+mn-ea"/>
            <a:cs typeface="+mn-cs"/>
          </a:endParaRPr>
        </a:p>
        <a:p>
          <a:r>
            <a:rPr lang="en-US" sz="1100" i="1" baseline="0">
              <a:solidFill>
                <a:schemeClr val="bg1">
                  <a:lumMod val="50000"/>
                </a:schemeClr>
              </a:solidFill>
              <a:latin typeface="+mn-lt"/>
              <a:ea typeface="+mn-ea"/>
              <a:cs typeface="+mn-cs"/>
            </a:rPr>
            <a:t>For inventory counts you need to provide the number of steers and heifers finished, the number of  additional head purchased for finishing (# Bought), any death loss (Deaths), and all finished animals sold (# Sold).  </a:t>
          </a:r>
        </a:p>
        <a:p>
          <a:endParaRPr lang="en-US" sz="1100" i="1" baseline="0">
            <a:solidFill>
              <a:schemeClr val="bg1">
                <a:lumMod val="50000"/>
              </a:schemeClr>
            </a:solidFill>
            <a:latin typeface="+mn-lt"/>
            <a:ea typeface="+mn-ea"/>
            <a:cs typeface="+mn-cs"/>
          </a:endParaRPr>
        </a:p>
        <a:p>
          <a:r>
            <a:rPr lang="en-US" sz="1100" i="1">
              <a:solidFill>
                <a:schemeClr val="bg1">
                  <a:lumMod val="50000"/>
                </a:schemeClr>
              </a:solidFill>
              <a:latin typeface="+mn-lt"/>
              <a:ea typeface="+mn-ea"/>
              <a:cs typeface="+mn-cs"/>
            </a:rPr>
            <a:t>The feeders from your own</a:t>
          </a:r>
          <a:r>
            <a:rPr lang="en-US" sz="1100" i="1" baseline="0">
              <a:solidFill>
                <a:schemeClr val="bg1">
                  <a:lumMod val="50000"/>
                </a:schemeClr>
              </a:solidFill>
              <a:latin typeface="+mn-lt"/>
              <a:ea typeface="+mn-ea"/>
              <a:cs typeface="+mn-cs"/>
            </a:rPr>
            <a:t> Backgrounding or Grasser enterprises will be automatically transferred into this table based on details provided in the "Backgrounder_InputForm"  and "Grasser_InputForm" tabs.</a:t>
          </a:r>
          <a:endParaRPr lang="en-US" sz="1100" i="1">
            <a:solidFill>
              <a:schemeClr val="bg1">
                <a:lumMod val="50000"/>
              </a:schemeClr>
            </a:solidFill>
            <a:latin typeface="+mn-lt"/>
            <a:ea typeface="+mn-ea"/>
            <a:cs typeface="+mn-cs"/>
          </a:endParaRPr>
        </a:p>
        <a:p>
          <a:endParaRPr lang="en-US" sz="1050" i="1">
            <a:solidFill>
              <a:schemeClr val="bg1">
                <a:lumMod val="50000"/>
              </a:schemeClr>
            </a:solidFill>
          </a:endParaRPr>
        </a:p>
        <a:p>
          <a:r>
            <a:rPr lang="en-US" sz="1100" i="1">
              <a:solidFill>
                <a:schemeClr val="bg1">
                  <a:lumMod val="50000"/>
                </a:schemeClr>
              </a:solidFill>
            </a:rPr>
            <a:t>Market values ($/lb) </a:t>
          </a:r>
          <a:r>
            <a:rPr lang="en-US" sz="1100" i="1" baseline="0">
              <a:solidFill>
                <a:schemeClr val="bg1">
                  <a:lumMod val="50000"/>
                </a:schemeClr>
              </a:solidFill>
            </a:rPr>
            <a:t>for the feeders at time of being put on full feed will come from your Backgrounder_InputForm and/or Grasser_InputForm. </a:t>
          </a:r>
          <a:endParaRPr lang="en-US" sz="1100" i="1">
            <a:solidFill>
              <a:schemeClr val="bg1">
                <a:lumMod val="50000"/>
              </a:schemeClr>
            </a:solidFill>
          </a:endParaRPr>
        </a:p>
      </xdr:txBody>
    </xdr:sp>
    <xdr:clientData/>
  </xdr:twoCellAnchor>
  <xdr:twoCellAnchor editAs="oneCell">
    <xdr:from>
      <xdr:col>15</xdr:col>
      <xdr:colOff>142875</xdr:colOff>
      <xdr:row>0</xdr:row>
      <xdr:rowOff>95250</xdr:rowOff>
    </xdr:from>
    <xdr:to>
      <xdr:col>19</xdr:col>
      <xdr:colOff>490155</xdr:colOff>
      <xdr:row>1</xdr:row>
      <xdr:rowOff>112082</xdr:rowOff>
    </xdr:to>
    <xdr:pic>
      <xdr:nvPicPr>
        <xdr:cNvPr id="3" name="Picture 2" descr="WESTERNBEEF_logo_RGB_sml.png"/>
        <xdr:cNvPicPr>
          <a:picLocks noChangeAspect="1"/>
        </xdr:cNvPicPr>
      </xdr:nvPicPr>
      <xdr:blipFill>
        <a:blip xmlns:r="http://schemas.openxmlformats.org/officeDocument/2006/relationships" r:embed="rId1" cstate="print"/>
        <a:stretch>
          <a:fillRect/>
        </a:stretch>
      </xdr:blipFill>
      <xdr:spPr>
        <a:xfrm>
          <a:off x="8543925" y="95250"/>
          <a:ext cx="2195130" cy="750257"/>
        </a:xfrm>
        <a:prstGeom prst="rect">
          <a:avLst/>
        </a:prstGeom>
      </xdr:spPr>
    </xdr:pic>
    <xdr:clientData/>
  </xdr:twoCellAnchor>
  <xdr:twoCellAnchor>
    <xdr:from>
      <xdr:col>1</xdr:col>
      <xdr:colOff>0</xdr:colOff>
      <xdr:row>8</xdr:row>
      <xdr:rowOff>0</xdr:rowOff>
    </xdr:from>
    <xdr:to>
      <xdr:col>15</xdr:col>
      <xdr:colOff>659348</xdr:colOff>
      <xdr:row>9</xdr:row>
      <xdr:rowOff>60328</xdr:rowOff>
    </xdr:to>
    <xdr:sp macro="" textlink="">
      <xdr:nvSpPr>
        <xdr:cNvPr id="4" name="TextBox 3"/>
        <xdr:cNvSpPr txBox="1"/>
      </xdr:nvSpPr>
      <xdr:spPr>
        <a:xfrm>
          <a:off x="333375" y="3990975"/>
          <a:ext cx="8727023" cy="374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the finisher inventory</a:t>
          </a:r>
          <a:r>
            <a:rPr lang="en-US" sz="1600" b="1" baseline="0">
              <a:solidFill>
                <a:srgbClr val="122B4A"/>
              </a:solidFill>
            </a:rPr>
            <a:t> details</a:t>
          </a:r>
          <a:endParaRPr lang="en-US" sz="1600" b="1">
            <a:solidFill>
              <a:srgbClr val="122B4A"/>
            </a:solidFill>
          </a:endParaRPr>
        </a:p>
      </xdr:txBody>
    </xdr:sp>
    <xdr:clientData/>
  </xdr:twoCellAnchor>
  <xdr:twoCellAnchor>
    <xdr:from>
      <xdr:col>1</xdr:col>
      <xdr:colOff>133350</xdr:colOff>
      <xdr:row>17</xdr:row>
      <xdr:rowOff>0</xdr:rowOff>
    </xdr:from>
    <xdr:to>
      <xdr:col>9</xdr:col>
      <xdr:colOff>620183</xdr:colOff>
      <xdr:row>18</xdr:row>
      <xdr:rowOff>0</xdr:rowOff>
    </xdr:to>
    <xdr:sp macro="" textlink="">
      <xdr:nvSpPr>
        <xdr:cNvPr id="5" name="TextBox 4"/>
        <xdr:cNvSpPr txBox="1"/>
      </xdr:nvSpPr>
      <xdr:spPr>
        <a:xfrm>
          <a:off x="466725" y="6172200"/>
          <a:ext cx="5496983"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2 </a:t>
          </a:r>
          <a:r>
            <a:rPr lang="en-US" sz="1600" b="1">
              <a:solidFill>
                <a:srgbClr val="56A12D"/>
              </a:solidFill>
            </a:rPr>
            <a:t>- </a:t>
          </a:r>
          <a:r>
            <a:rPr lang="en-US" sz="1600" b="1">
              <a:solidFill>
                <a:srgbClr val="122B4A"/>
              </a:solidFill>
            </a:rPr>
            <a:t>Important dates</a:t>
          </a:r>
        </a:p>
      </xdr:txBody>
    </xdr:sp>
    <xdr:clientData/>
  </xdr:twoCellAnchor>
  <xdr:twoCellAnchor>
    <xdr:from>
      <xdr:col>1</xdr:col>
      <xdr:colOff>0</xdr:colOff>
      <xdr:row>22</xdr:row>
      <xdr:rowOff>9525</xdr:rowOff>
    </xdr:from>
    <xdr:to>
      <xdr:col>11</xdr:col>
      <xdr:colOff>628650</xdr:colOff>
      <xdr:row>23</xdr:row>
      <xdr:rowOff>38100</xdr:rowOff>
    </xdr:to>
    <xdr:sp macro="" textlink="">
      <xdr:nvSpPr>
        <xdr:cNvPr id="6" name="TextBox 5"/>
        <xdr:cNvSpPr txBox="1"/>
      </xdr:nvSpPr>
      <xdr:spPr>
        <a:xfrm>
          <a:off x="333375" y="7267575"/>
          <a:ext cx="6600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3 </a:t>
          </a:r>
          <a:r>
            <a:rPr lang="en-US" sz="1600" b="1">
              <a:solidFill>
                <a:srgbClr val="56A12D"/>
              </a:solidFill>
            </a:rPr>
            <a:t>- </a:t>
          </a:r>
          <a:r>
            <a:rPr lang="en-US" sz="1600" b="1">
              <a:solidFill>
                <a:srgbClr val="122B4A"/>
              </a:solidFill>
            </a:rPr>
            <a:t> Sales &amp; Purchases Related to Finisher Enterprise</a:t>
          </a:r>
        </a:p>
      </xdr:txBody>
    </xdr:sp>
    <xdr:clientData/>
  </xdr:twoCellAnchor>
  <xdr:twoCellAnchor>
    <xdr:from>
      <xdr:col>1</xdr:col>
      <xdr:colOff>0</xdr:colOff>
      <xdr:row>23</xdr:row>
      <xdr:rowOff>47625</xdr:rowOff>
    </xdr:from>
    <xdr:to>
      <xdr:col>13</xdr:col>
      <xdr:colOff>533400</xdr:colOff>
      <xdr:row>24</xdr:row>
      <xdr:rowOff>38100</xdr:rowOff>
    </xdr:to>
    <xdr:sp macro="" textlink="">
      <xdr:nvSpPr>
        <xdr:cNvPr id="7" name="TextBox 6"/>
        <xdr:cNvSpPr txBox="1"/>
      </xdr:nvSpPr>
      <xdr:spPr>
        <a:xfrm>
          <a:off x="333375" y="7553325"/>
          <a:ext cx="7600950" cy="238125"/>
        </a:xfrm>
        <a:prstGeom prst="rect">
          <a:avLst/>
        </a:prstGeom>
        <a:no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baseline="0">
              <a:solidFill>
                <a:schemeClr val="bg1">
                  <a:lumMod val="50000"/>
                </a:schemeClr>
              </a:solidFill>
            </a:rPr>
            <a:t>Any purchases of feeders for the purpose of finishing should be entered in this step. </a:t>
          </a:r>
          <a:r>
            <a:rPr lang="en-US" sz="1100" i="1">
              <a:solidFill>
                <a:schemeClr val="bg1">
                  <a:lumMod val="50000"/>
                </a:schemeClr>
              </a:solidFill>
              <a:latin typeface="+mn-lt"/>
              <a:ea typeface="+mn-ea"/>
              <a:cs typeface="+mn-cs"/>
            </a:rPr>
            <a:t>Please enter the sales of finishers in this step</a:t>
          </a:r>
          <a:r>
            <a:rPr lang="en-US" sz="1100" i="1" baseline="0">
              <a:solidFill>
                <a:schemeClr val="bg1">
                  <a:lumMod val="50000"/>
                </a:schemeClr>
              </a:solidFill>
              <a:latin typeface="+mn-lt"/>
              <a:ea typeface="+mn-ea"/>
              <a:cs typeface="+mn-cs"/>
            </a:rPr>
            <a:t> too. </a:t>
          </a:r>
          <a:endParaRPr lang="en-US" sz="1050" i="1">
            <a:solidFill>
              <a:schemeClr val="bg1">
                <a:lumMod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twoCellAnchor>
    <xdr:from>
      <xdr:col>1</xdr:col>
      <xdr:colOff>0</xdr:colOff>
      <xdr:row>48</xdr:row>
      <xdr:rowOff>0</xdr:rowOff>
    </xdr:from>
    <xdr:to>
      <xdr:col>20</xdr:col>
      <xdr:colOff>161925</xdr:colOff>
      <xdr:row>50</xdr:row>
      <xdr:rowOff>47625</xdr:rowOff>
    </xdr:to>
    <xdr:sp macro="" textlink="">
      <xdr:nvSpPr>
        <xdr:cNvPr id="9" name="TextBox 8"/>
        <xdr:cNvSpPr txBox="1"/>
      </xdr:nvSpPr>
      <xdr:spPr>
        <a:xfrm>
          <a:off x="333375" y="14125575"/>
          <a:ext cx="1099185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YOU HAVE NOW ENTERED ALL THE</a:t>
          </a:r>
          <a:r>
            <a:rPr lang="en-US" sz="1800" b="1" baseline="0">
              <a:solidFill>
                <a:srgbClr val="56A12D"/>
              </a:solidFill>
            </a:rPr>
            <a:t> PRODUCTION DETAILS FOR THE FINISHER ENTERPRISE!</a:t>
          </a:r>
          <a:endParaRPr lang="en-US" sz="1600" b="1">
            <a:solidFill>
              <a:srgbClr val="122B4A"/>
            </a:solidFill>
          </a:endParaRPr>
        </a:p>
      </xdr:txBody>
    </xdr:sp>
    <xdr:clientData/>
  </xdr:twoCellAnchor>
  <xdr:twoCellAnchor>
    <xdr:from>
      <xdr:col>1</xdr:col>
      <xdr:colOff>19050</xdr:colOff>
      <xdr:row>36</xdr:row>
      <xdr:rowOff>0</xdr:rowOff>
    </xdr:from>
    <xdr:to>
      <xdr:col>9</xdr:col>
      <xdr:colOff>563033</xdr:colOff>
      <xdr:row>37</xdr:row>
      <xdr:rowOff>133350</xdr:rowOff>
    </xdr:to>
    <xdr:sp macro="" textlink="">
      <xdr:nvSpPr>
        <xdr:cNvPr id="10" name="TextBox 9"/>
        <xdr:cNvSpPr txBox="1"/>
      </xdr:nvSpPr>
      <xdr:spPr>
        <a:xfrm>
          <a:off x="352425" y="11315700"/>
          <a:ext cx="5554133"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4 </a:t>
          </a:r>
          <a:r>
            <a:rPr lang="en-US" sz="1600" b="1">
              <a:solidFill>
                <a:srgbClr val="56A12D"/>
              </a:solidFill>
            </a:rPr>
            <a:t>- </a:t>
          </a:r>
          <a:r>
            <a:rPr lang="en-US" sz="1600" b="1">
              <a:solidFill>
                <a:srgbClr val="122B4A"/>
              </a:solidFill>
            </a:rPr>
            <a:t> Feed for FINISHERS</a:t>
          </a:r>
        </a:p>
      </xdr:txBody>
    </xdr:sp>
    <xdr:clientData/>
  </xdr:twoCellAnchor>
  <xdr:twoCellAnchor>
    <xdr:from>
      <xdr:col>1</xdr:col>
      <xdr:colOff>76200</xdr:colOff>
      <xdr:row>37</xdr:row>
      <xdr:rowOff>95250</xdr:rowOff>
    </xdr:from>
    <xdr:to>
      <xdr:col>13</xdr:col>
      <xdr:colOff>657225</xdr:colOff>
      <xdr:row>38</xdr:row>
      <xdr:rowOff>209551</xdr:rowOff>
    </xdr:to>
    <xdr:sp macro="" textlink="">
      <xdr:nvSpPr>
        <xdr:cNvPr id="11" name="TextBox 10"/>
        <xdr:cNvSpPr txBox="1"/>
      </xdr:nvSpPr>
      <xdr:spPr>
        <a:xfrm>
          <a:off x="409575" y="11620500"/>
          <a:ext cx="7524750" cy="619126"/>
        </a:xfrm>
        <a:prstGeom prst="rect">
          <a:avLst/>
        </a:prstGeom>
        <a:solidFill>
          <a:schemeClr val="lt1"/>
        </a:solidFill>
        <a:ln w="25400" cmpd="dbl">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i="1">
              <a:solidFill>
                <a:schemeClr val="bg1">
                  <a:lumMod val="50000"/>
                </a:schemeClr>
              </a:solidFill>
            </a:rPr>
            <a:t>Enter the feed fed to the finishers- this will be</a:t>
          </a:r>
          <a:r>
            <a:rPr lang="en-US" sz="1050" i="1" baseline="0">
              <a:solidFill>
                <a:schemeClr val="bg1">
                  <a:lumMod val="50000"/>
                </a:schemeClr>
              </a:solidFill>
            </a:rPr>
            <a:t> for the time period from when they are placed on full feed till they are sent for slaughter. Report homegrown feed separate from purchased feed for the finishers. Do not include salt &amp; mineral in this tab.</a:t>
          </a:r>
          <a:endParaRPr lang="en-US" sz="1050" i="1">
            <a:solidFill>
              <a:schemeClr val="bg1">
                <a:lumMod val="50000"/>
              </a:schemeClr>
            </a:solidFill>
          </a:endParaRPr>
        </a:p>
        <a:p>
          <a:endParaRPr lang="en-US" sz="1050" i="1">
            <a:solidFill>
              <a:schemeClr val="bg1">
                <a:lumMod val="50000"/>
              </a:schemeClr>
            </a:solidFill>
          </a:endParaRPr>
        </a:p>
        <a:p>
          <a:endParaRPr lang="en-US" sz="1050" i="1">
            <a:solidFill>
              <a:schemeClr val="bg1">
                <a:lumMod val="50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257175</xdr:colOff>
      <xdr:row>0</xdr:row>
      <xdr:rowOff>133350</xdr:rowOff>
    </xdr:from>
    <xdr:to>
      <xdr:col>16</xdr:col>
      <xdr:colOff>266700</xdr:colOff>
      <xdr:row>1</xdr:row>
      <xdr:rowOff>45439</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8162925" y="133350"/>
          <a:ext cx="1838325" cy="693139"/>
        </a:xfrm>
        <a:prstGeom prst="rect">
          <a:avLst/>
        </a:prstGeom>
      </xdr:spPr>
    </xdr:pic>
    <xdr:clientData/>
  </xdr:twoCellAnchor>
  <xdr:twoCellAnchor>
    <xdr:from>
      <xdr:col>0</xdr:col>
      <xdr:colOff>333376</xdr:colOff>
      <xdr:row>2</xdr:row>
      <xdr:rowOff>247650</xdr:rowOff>
    </xdr:from>
    <xdr:to>
      <xdr:col>10</xdr:col>
      <xdr:colOff>419100</xdr:colOff>
      <xdr:row>3</xdr:row>
      <xdr:rowOff>260353</xdr:rowOff>
    </xdr:to>
    <xdr:sp macro="" textlink="">
      <xdr:nvSpPr>
        <xdr:cNvPr id="4" name="TextBox 3"/>
        <xdr:cNvSpPr txBox="1"/>
      </xdr:nvSpPr>
      <xdr:spPr>
        <a:xfrm>
          <a:off x="333376" y="1390650"/>
          <a:ext cx="6162674" cy="374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1 </a:t>
          </a:r>
          <a:r>
            <a:rPr lang="en-US" sz="1600" b="1">
              <a:solidFill>
                <a:srgbClr val="56A12D"/>
              </a:solidFill>
            </a:rPr>
            <a:t>- </a:t>
          </a:r>
          <a:r>
            <a:rPr lang="en-US" sz="1600" b="1">
              <a:solidFill>
                <a:srgbClr val="122B4A"/>
              </a:solidFill>
            </a:rPr>
            <a:t>Enter the acres for Owned, Rented and Leased Pasture</a:t>
          </a:r>
        </a:p>
      </xdr:txBody>
    </xdr:sp>
    <xdr:clientData/>
  </xdr:twoCellAnchor>
  <xdr:twoCellAnchor>
    <xdr:from>
      <xdr:col>0</xdr:col>
      <xdr:colOff>314325</xdr:colOff>
      <xdr:row>11</xdr:row>
      <xdr:rowOff>190500</xdr:rowOff>
    </xdr:from>
    <xdr:to>
      <xdr:col>10</xdr:col>
      <xdr:colOff>400049</xdr:colOff>
      <xdr:row>13</xdr:row>
      <xdr:rowOff>155578</xdr:rowOff>
    </xdr:to>
    <xdr:sp macro="" textlink="">
      <xdr:nvSpPr>
        <xdr:cNvPr id="5" name="TextBox 4"/>
        <xdr:cNvSpPr txBox="1"/>
      </xdr:nvSpPr>
      <xdr:spPr>
        <a:xfrm>
          <a:off x="314325" y="3838575"/>
          <a:ext cx="6162674" cy="374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2 </a:t>
          </a:r>
          <a:r>
            <a:rPr lang="en-US" sz="1600" b="1">
              <a:solidFill>
                <a:srgbClr val="56A12D"/>
              </a:solidFill>
            </a:rPr>
            <a:t>- </a:t>
          </a:r>
          <a:r>
            <a:rPr lang="en-US" sz="1600" b="1">
              <a:solidFill>
                <a:srgbClr val="122B4A"/>
              </a:solidFill>
            </a:rPr>
            <a:t>Custom Grazing Income (if</a:t>
          </a:r>
          <a:r>
            <a:rPr lang="en-US" sz="1600" b="1" baseline="0">
              <a:solidFill>
                <a:srgbClr val="122B4A"/>
              </a:solidFill>
            </a:rPr>
            <a:t> applicable)</a:t>
          </a:r>
          <a:endParaRPr lang="en-US" sz="1600" b="1">
            <a:solidFill>
              <a:srgbClr val="122B4A"/>
            </a:solidFill>
          </a:endParaRPr>
        </a:p>
      </xdr:txBody>
    </xdr:sp>
    <xdr:clientData/>
  </xdr:twoCellAnchor>
  <xdr:twoCellAnchor>
    <xdr:from>
      <xdr:col>1</xdr:col>
      <xdr:colOff>0</xdr:colOff>
      <xdr:row>16</xdr:row>
      <xdr:rowOff>57150</xdr:rowOff>
    </xdr:from>
    <xdr:to>
      <xdr:col>10</xdr:col>
      <xdr:colOff>428624</xdr:colOff>
      <xdr:row>18</xdr:row>
      <xdr:rowOff>50803</xdr:rowOff>
    </xdr:to>
    <xdr:sp macro="" textlink="">
      <xdr:nvSpPr>
        <xdr:cNvPr id="6" name="TextBox 5"/>
        <xdr:cNvSpPr txBox="1"/>
      </xdr:nvSpPr>
      <xdr:spPr>
        <a:xfrm>
          <a:off x="342900" y="4895850"/>
          <a:ext cx="6162674" cy="374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STEP 3 </a:t>
          </a:r>
          <a:r>
            <a:rPr lang="en-US" sz="1600" b="1">
              <a:solidFill>
                <a:srgbClr val="56A12D"/>
              </a:solidFill>
            </a:rPr>
            <a:t>- </a:t>
          </a:r>
          <a:r>
            <a:rPr lang="en-US" sz="1600" b="1">
              <a:solidFill>
                <a:srgbClr val="122B4A"/>
              </a:solidFill>
            </a:rPr>
            <a:t>Animal Weights (for calculating AUMs)</a:t>
          </a:r>
        </a:p>
      </xdr:txBody>
    </xdr:sp>
    <xdr:clientData/>
  </xdr:twoCellAnchor>
  <xdr:twoCellAnchor>
    <xdr:from>
      <xdr:col>6</xdr:col>
      <xdr:colOff>66675</xdr:colOff>
      <xdr:row>18</xdr:row>
      <xdr:rowOff>114300</xdr:rowOff>
    </xdr:from>
    <xdr:to>
      <xdr:col>13</xdr:col>
      <xdr:colOff>390525</xdr:colOff>
      <xdr:row>27</xdr:row>
      <xdr:rowOff>0</xdr:rowOff>
    </xdr:to>
    <xdr:sp macro="" textlink="">
      <xdr:nvSpPr>
        <xdr:cNvPr id="7" name="TextBox 6"/>
        <xdr:cNvSpPr txBox="1"/>
      </xdr:nvSpPr>
      <xdr:spPr>
        <a:xfrm>
          <a:off x="4257675" y="5334000"/>
          <a:ext cx="4038600" cy="174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rgbClr val="1F1448"/>
              </a:solidFill>
            </a:rPr>
            <a:t>Why do</a:t>
          </a:r>
          <a:r>
            <a:rPr lang="en-US" sz="1200" b="1" baseline="0">
              <a:solidFill>
                <a:srgbClr val="1F1448"/>
              </a:solidFill>
            </a:rPr>
            <a:t> I need to provide weights for my animals?</a:t>
          </a:r>
        </a:p>
        <a:p>
          <a:r>
            <a:rPr lang="en-US" sz="1100" b="0" baseline="0">
              <a:solidFill>
                <a:schemeClr val="tx1">
                  <a:lumMod val="50000"/>
                  <a:lumOff val="50000"/>
                </a:schemeClr>
              </a:solidFill>
            </a:rPr>
            <a:t>When calculating profit on pasture, it is useful to factor in that size matters (i.e., a bull weighs more, therefore, it will consume more grass than a replacement heifer). </a:t>
          </a:r>
        </a:p>
        <a:p>
          <a:endParaRPr lang="en-US" sz="1100" b="0" baseline="0">
            <a:solidFill>
              <a:schemeClr val="tx1">
                <a:lumMod val="50000"/>
                <a:lumOff val="50000"/>
              </a:schemeClr>
            </a:solidFill>
          </a:endParaRPr>
        </a:p>
        <a:p>
          <a:r>
            <a:rPr lang="en-US" sz="1100" b="0" baseline="0">
              <a:solidFill>
                <a:schemeClr val="tx1">
                  <a:lumMod val="50000"/>
                  <a:lumOff val="50000"/>
                </a:schemeClr>
              </a:solidFill>
            </a:rPr>
            <a:t>While the COP analysis will still calculate based on acre and $/head/day, adding in average weights will calculate the profitability on a animal use equivalent basis (where 1 AU = 1000 lb cow with or without calf at side.</a:t>
          </a:r>
        </a:p>
        <a:p>
          <a:endParaRPr lang="en-US" sz="1100" b="0" baseline="0">
            <a:solidFill>
              <a:schemeClr val="tx1">
                <a:lumMod val="50000"/>
                <a:lumOff val="50000"/>
              </a:schemeClr>
            </a:solidFill>
          </a:endParaRPr>
        </a:p>
        <a:p>
          <a:endParaRPr lang="en-US" sz="1100" b="0" baseline="0">
            <a:solidFill>
              <a:schemeClr val="tx1">
                <a:lumMod val="50000"/>
                <a:lumOff val="50000"/>
              </a:schemeClr>
            </a:solidFill>
          </a:endParaRPr>
        </a:p>
        <a:p>
          <a:endParaRPr lang="en-US" sz="1100"/>
        </a:p>
      </xdr:txBody>
    </xdr:sp>
    <xdr:clientData/>
  </xdr:twoCellAnchor>
  <xdr:twoCellAnchor>
    <xdr:from>
      <xdr:col>0</xdr:col>
      <xdr:colOff>57150</xdr:colOff>
      <xdr:row>29</xdr:row>
      <xdr:rowOff>104775</xdr:rowOff>
    </xdr:from>
    <xdr:to>
      <xdr:col>14</xdr:col>
      <xdr:colOff>266700</xdr:colOff>
      <xdr:row>31</xdr:row>
      <xdr:rowOff>152400</xdr:rowOff>
    </xdr:to>
    <xdr:sp macro="" textlink="">
      <xdr:nvSpPr>
        <xdr:cNvPr id="8" name="TextBox 7"/>
        <xdr:cNvSpPr txBox="1"/>
      </xdr:nvSpPr>
      <xdr:spPr>
        <a:xfrm>
          <a:off x="57150" y="5514975"/>
          <a:ext cx="872490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rgbClr val="56A12D"/>
              </a:solidFill>
            </a:rPr>
            <a:t>YOU HAVE NOW ENTERED ALL THE</a:t>
          </a:r>
          <a:r>
            <a:rPr lang="en-US" sz="1800" b="1" baseline="0">
              <a:solidFill>
                <a:srgbClr val="56A12D"/>
              </a:solidFill>
            </a:rPr>
            <a:t> PRODUCTION DETAILS FOR THE PASTURE ENTERPRISE!</a:t>
          </a:r>
          <a:endParaRPr lang="en-US" sz="1600" b="1">
            <a:solidFill>
              <a:srgbClr val="122B4A"/>
            </a:solidFill>
          </a:endParaRPr>
        </a:p>
      </xdr:txBody>
    </xdr:sp>
    <xdr:clientData/>
  </xdr:twoCellAnchor>
  <xdr:twoCellAnchor>
    <xdr:from>
      <xdr:col>10</xdr:col>
      <xdr:colOff>266700</xdr:colOff>
      <xdr:row>2</xdr:row>
      <xdr:rowOff>76200</xdr:rowOff>
    </xdr:from>
    <xdr:to>
      <xdr:col>17</xdr:col>
      <xdr:colOff>47626</xdr:colOff>
      <xdr:row>13</xdr:row>
      <xdr:rowOff>85725</xdr:rowOff>
    </xdr:to>
    <xdr:sp macro="" textlink="">
      <xdr:nvSpPr>
        <xdr:cNvPr id="9" name="TextBox 8"/>
        <xdr:cNvSpPr txBox="1"/>
      </xdr:nvSpPr>
      <xdr:spPr>
        <a:xfrm>
          <a:off x="6343650" y="1390650"/>
          <a:ext cx="4048126" cy="2752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rgbClr val="FF0000"/>
              </a:solidFill>
            </a:rPr>
            <a:t>HELPFUL HINT</a:t>
          </a:r>
        </a:p>
        <a:p>
          <a:endParaRPr lang="en-US" sz="1100" b="1">
            <a:solidFill>
              <a:srgbClr val="FF0000"/>
            </a:solidFill>
          </a:endParaRPr>
        </a:p>
        <a:p>
          <a:r>
            <a:rPr lang="en-US" sz="1100">
              <a:solidFill>
                <a:schemeClr val="tx1">
                  <a:lumMod val="75000"/>
                  <a:lumOff val="25000"/>
                </a:schemeClr>
              </a:solidFill>
            </a:rPr>
            <a:t>Typically, the majority</a:t>
          </a:r>
          <a:r>
            <a:rPr lang="en-US" sz="1100" baseline="0">
              <a:solidFill>
                <a:schemeClr val="tx1">
                  <a:lumMod val="75000"/>
                  <a:lumOff val="25000"/>
                </a:schemeClr>
              </a:solidFill>
            </a:rPr>
            <a:t> of a cow-calf producer's grazing revenue is "non-cash". It comes from charging your cows, replacement heifers and grassers market value to graze your pasture land.  The grazing details entered under the Cow-Calf, Replacement Heifer and Grasser input forms are used to calculate the "non-cash" revenue earned to your pasture enterprise and therefore do not need to be entered again in this input form.</a:t>
          </a:r>
        </a:p>
        <a:p>
          <a:endParaRPr lang="en-US" sz="1100" baseline="0">
            <a:solidFill>
              <a:schemeClr val="tx1">
                <a:lumMod val="75000"/>
                <a:lumOff val="25000"/>
              </a:schemeClr>
            </a:solidFill>
          </a:endParaRPr>
        </a:p>
        <a:p>
          <a:r>
            <a:rPr lang="en-US" sz="1100" baseline="0">
              <a:solidFill>
                <a:schemeClr val="tx1">
                  <a:lumMod val="75000"/>
                  <a:lumOff val="25000"/>
                </a:schemeClr>
              </a:solidFill>
            </a:rPr>
            <a:t>You do, however, need to enter any cash revenue earned on your pasture enterprise as a result of custom grazing someone else's livestock. Enter that information in Step 2.</a:t>
          </a:r>
          <a:endParaRPr lang="en-US" sz="1100">
            <a:solidFill>
              <a:schemeClr val="tx1">
                <a:lumMod val="75000"/>
                <a:lumOff val="2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7.vml"/><Relationship Id="rId3"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 Id="rId2" Type="http://schemas.openxmlformats.org/officeDocument/2006/relationships/vmlDrawing" Target="../drawings/vmlDrawing8.vml"/><Relationship Id="rId3"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 Id="rId2" Type="http://schemas.openxmlformats.org/officeDocument/2006/relationships/vmlDrawing" Target="../drawings/vmlDrawing9.vml"/><Relationship Id="rId3" Type="http://schemas.openxmlformats.org/officeDocument/2006/relationships/comments" Target="../comments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5.vml"/><Relationship Id="rId3"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2" Type="http://schemas.openxmlformats.org/officeDocument/2006/relationships/vmlDrawing" Target="../drawings/vmlDrawing6.vml"/><Relationship Id="rId3"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A1"/>
  <sheetViews>
    <sheetView showGridLines="0" showRowColHeaders="0" tabSelected="1" workbookViewId="0">
      <selection activeCell="K1" sqref="A1:K66"/>
    </sheetView>
  </sheetViews>
  <sheetFormatPr baseColWidth="10" defaultColWidth="8.83203125" defaultRowHeight="14"/>
  <sheetData/>
  <sheetProtection sheet="1" objects="1" scenarios="1"/>
  <pageMargins left="0.7" right="0.7" top="0.75" bottom="0.75" header="0.3" footer="0.3"/>
  <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B1:AN57"/>
  <sheetViews>
    <sheetView showGridLines="0" showRowColHeaders="0" zoomScale="90" zoomScaleNormal="90" zoomScalePageLayoutView="90" workbookViewId="0">
      <selection activeCell="B7" sqref="B7"/>
    </sheetView>
  </sheetViews>
  <sheetFormatPr baseColWidth="10" defaultColWidth="8.83203125" defaultRowHeight="12"/>
  <cols>
    <col min="1" max="1" width="5.1640625" style="40" customWidth="1"/>
    <col min="2" max="2" width="30.33203125" style="40" customWidth="1"/>
    <col min="3" max="3" width="1.5" style="40" customWidth="1"/>
    <col min="4" max="4" width="11.6640625" style="54" customWidth="1"/>
    <col min="5" max="5" width="1.5" style="40" customWidth="1"/>
    <col min="6" max="6" width="13" style="40" customWidth="1"/>
    <col min="7" max="7" width="1.6640625" style="40" customWidth="1"/>
    <col min="8" max="8" width="10.83203125" style="40" customWidth="1"/>
    <col min="9" max="9" width="1.5" style="40" customWidth="1"/>
    <col min="10" max="10" width="11" style="40" customWidth="1"/>
    <col min="11" max="11" width="1.6640625" style="40" customWidth="1"/>
    <col min="12" max="12" width="14.6640625" style="40" customWidth="1"/>
    <col min="13" max="13" width="2" style="40" customWidth="1"/>
    <col min="14" max="14" width="12.5" style="40" customWidth="1"/>
    <col min="15" max="15" width="2.33203125" style="40" customWidth="1"/>
    <col min="16" max="16" width="15.1640625" style="465" customWidth="1"/>
    <col min="17" max="17" width="2.1640625" style="465" customWidth="1"/>
    <col min="18" max="18" width="13.5" style="465" customWidth="1"/>
    <col min="19" max="19" width="2" style="465" customWidth="1"/>
    <col min="20" max="20" width="14.83203125" style="465" customWidth="1"/>
    <col min="21" max="21" width="8.83203125" style="465"/>
    <col min="22" max="258" width="8.83203125" style="40"/>
    <col min="259" max="259" width="34.6640625" style="40" customWidth="1"/>
    <col min="260" max="260" width="7.5" style="40" bestFit="1" customWidth="1"/>
    <col min="261" max="261" width="9.5" style="40" bestFit="1" customWidth="1"/>
    <col min="262" max="262" width="8.83203125" style="40"/>
    <col min="263" max="263" width="11.6640625" style="40" customWidth="1"/>
    <col min="264" max="264" width="8.83203125" style="40"/>
    <col min="265" max="266" width="6.6640625" style="40" bestFit="1" customWidth="1"/>
    <col min="267" max="514" width="8.83203125" style="40"/>
    <col min="515" max="515" width="34.6640625" style="40" customWidth="1"/>
    <col min="516" max="516" width="7.5" style="40" bestFit="1" customWidth="1"/>
    <col min="517" max="517" width="9.5" style="40" bestFit="1" customWidth="1"/>
    <col min="518" max="518" width="8.83203125" style="40"/>
    <col min="519" max="519" width="11.6640625" style="40" customWidth="1"/>
    <col min="520" max="520" width="8.83203125" style="40"/>
    <col min="521" max="522" width="6.6640625" style="40" bestFit="1" customWidth="1"/>
    <col min="523" max="770" width="8.83203125" style="40"/>
    <col min="771" max="771" width="34.6640625" style="40" customWidth="1"/>
    <col min="772" max="772" width="7.5" style="40" bestFit="1" customWidth="1"/>
    <col min="773" max="773" width="9.5" style="40" bestFit="1" customWidth="1"/>
    <col min="774" max="774" width="8.83203125" style="40"/>
    <col min="775" max="775" width="11.6640625" style="40" customWidth="1"/>
    <col min="776" max="776" width="8.83203125" style="40"/>
    <col min="777" max="778" width="6.6640625" style="40" bestFit="1" customWidth="1"/>
    <col min="779" max="1026" width="8.83203125" style="40"/>
    <col min="1027" max="1027" width="34.6640625" style="40" customWidth="1"/>
    <col min="1028" max="1028" width="7.5" style="40" bestFit="1" customWidth="1"/>
    <col min="1029" max="1029" width="9.5" style="40" bestFit="1" customWidth="1"/>
    <col min="1030" max="1030" width="8.83203125" style="40"/>
    <col min="1031" max="1031" width="11.6640625" style="40" customWidth="1"/>
    <col min="1032" max="1032" width="8.83203125" style="40"/>
    <col min="1033" max="1034" width="6.6640625" style="40" bestFit="1" customWidth="1"/>
    <col min="1035" max="1282" width="8.83203125" style="40"/>
    <col min="1283" max="1283" width="34.6640625" style="40" customWidth="1"/>
    <col min="1284" max="1284" width="7.5" style="40" bestFit="1" customWidth="1"/>
    <col min="1285" max="1285" width="9.5" style="40" bestFit="1" customWidth="1"/>
    <col min="1286" max="1286" width="8.83203125" style="40"/>
    <col min="1287" max="1287" width="11.6640625" style="40" customWidth="1"/>
    <col min="1288" max="1288" width="8.83203125" style="40"/>
    <col min="1289" max="1290" width="6.6640625" style="40" bestFit="1" customWidth="1"/>
    <col min="1291" max="1538" width="8.83203125" style="40"/>
    <col min="1539" max="1539" width="34.6640625" style="40" customWidth="1"/>
    <col min="1540" max="1540" width="7.5" style="40" bestFit="1" customWidth="1"/>
    <col min="1541" max="1541" width="9.5" style="40" bestFit="1" customWidth="1"/>
    <col min="1542" max="1542" width="8.83203125" style="40"/>
    <col min="1543" max="1543" width="11.6640625" style="40" customWidth="1"/>
    <col min="1544" max="1544" width="8.83203125" style="40"/>
    <col min="1545" max="1546" width="6.6640625" style="40" bestFit="1" customWidth="1"/>
    <col min="1547" max="1794" width="8.83203125" style="40"/>
    <col min="1795" max="1795" width="34.6640625" style="40" customWidth="1"/>
    <col min="1796" max="1796" width="7.5" style="40" bestFit="1" customWidth="1"/>
    <col min="1797" max="1797" width="9.5" style="40" bestFit="1" customWidth="1"/>
    <col min="1798" max="1798" width="8.83203125" style="40"/>
    <col min="1799" max="1799" width="11.6640625" style="40" customWidth="1"/>
    <col min="1800" max="1800" width="8.83203125" style="40"/>
    <col min="1801" max="1802" width="6.6640625" style="40" bestFit="1" customWidth="1"/>
    <col min="1803" max="2050" width="8.83203125" style="40"/>
    <col min="2051" max="2051" width="34.6640625" style="40" customWidth="1"/>
    <col min="2052" max="2052" width="7.5" style="40" bestFit="1" customWidth="1"/>
    <col min="2053" max="2053" width="9.5" style="40" bestFit="1" customWidth="1"/>
    <col min="2054" max="2054" width="8.83203125" style="40"/>
    <col min="2055" max="2055" width="11.6640625" style="40" customWidth="1"/>
    <col min="2056" max="2056" width="8.83203125" style="40"/>
    <col min="2057" max="2058" width="6.6640625" style="40" bestFit="1" customWidth="1"/>
    <col min="2059" max="2306" width="8.83203125" style="40"/>
    <col min="2307" max="2307" width="34.6640625" style="40" customWidth="1"/>
    <col min="2308" max="2308" width="7.5" style="40" bestFit="1" customWidth="1"/>
    <col min="2309" max="2309" width="9.5" style="40" bestFit="1" customWidth="1"/>
    <col min="2310" max="2310" width="8.83203125" style="40"/>
    <col min="2311" max="2311" width="11.6640625" style="40" customWidth="1"/>
    <col min="2312" max="2312" width="8.83203125" style="40"/>
    <col min="2313" max="2314" width="6.6640625" style="40" bestFit="1" customWidth="1"/>
    <col min="2315" max="2562" width="8.83203125" style="40"/>
    <col min="2563" max="2563" width="34.6640625" style="40" customWidth="1"/>
    <col min="2564" max="2564" width="7.5" style="40" bestFit="1" customWidth="1"/>
    <col min="2565" max="2565" width="9.5" style="40" bestFit="1" customWidth="1"/>
    <col min="2566" max="2566" width="8.83203125" style="40"/>
    <col min="2567" max="2567" width="11.6640625" style="40" customWidth="1"/>
    <col min="2568" max="2568" width="8.83203125" style="40"/>
    <col min="2569" max="2570" width="6.6640625" style="40" bestFit="1" customWidth="1"/>
    <col min="2571" max="2818" width="8.83203125" style="40"/>
    <col min="2819" max="2819" width="34.6640625" style="40" customWidth="1"/>
    <col min="2820" max="2820" width="7.5" style="40" bestFit="1" customWidth="1"/>
    <col min="2821" max="2821" width="9.5" style="40" bestFit="1" customWidth="1"/>
    <col min="2822" max="2822" width="8.83203125" style="40"/>
    <col min="2823" max="2823" width="11.6640625" style="40" customWidth="1"/>
    <col min="2824" max="2824" width="8.83203125" style="40"/>
    <col min="2825" max="2826" width="6.6640625" style="40" bestFit="1" customWidth="1"/>
    <col min="2827" max="3074" width="8.83203125" style="40"/>
    <col min="3075" max="3075" width="34.6640625" style="40" customWidth="1"/>
    <col min="3076" max="3076" width="7.5" style="40" bestFit="1" customWidth="1"/>
    <col min="3077" max="3077" width="9.5" style="40" bestFit="1" customWidth="1"/>
    <col min="3078" max="3078" width="8.83203125" style="40"/>
    <col min="3079" max="3079" width="11.6640625" style="40" customWidth="1"/>
    <col min="3080" max="3080" width="8.83203125" style="40"/>
    <col min="3081" max="3082" width="6.6640625" style="40" bestFit="1" customWidth="1"/>
    <col min="3083" max="3330" width="8.83203125" style="40"/>
    <col min="3331" max="3331" width="34.6640625" style="40" customWidth="1"/>
    <col min="3332" max="3332" width="7.5" style="40" bestFit="1" customWidth="1"/>
    <col min="3333" max="3333" width="9.5" style="40" bestFit="1" customWidth="1"/>
    <col min="3334" max="3334" width="8.83203125" style="40"/>
    <col min="3335" max="3335" width="11.6640625" style="40" customWidth="1"/>
    <col min="3336" max="3336" width="8.83203125" style="40"/>
    <col min="3337" max="3338" width="6.6640625" style="40" bestFit="1" customWidth="1"/>
    <col min="3339" max="3586" width="8.83203125" style="40"/>
    <col min="3587" max="3587" width="34.6640625" style="40" customWidth="1"/>
    <col min="3588" max="3588" width="7.5" style="40" bestFit="1" customWidth="1"/>
    <col min="3589" max="3589" width="9.5" style="40" bestFit="1" customWidth="1"/>
    <col min="3590" max="3590" width="8.83203125" style="40"/>
    <col min="3591" max="3591" width="11.6640625" style="40" customWidth="1"/>
    <col min="3592" max="3592" width="8.83203125" style="40"/>
    <col min="3593" max="3594" width="6.6640625" style="40" bestFit="1" customWidth="1"/>
    <col min="3595" max="3842" width="8.83203125" style="40"/>
    <col min="3843" max="3843" width="34.6640625" style="40" customWidth="1"/>
    <col min="3844" max="3844" width="7.5" style="40" bestFit="1" customWidth="1"/>
    <col min="3845" max="3845" width="9.5" style="40" bestFit="1" customWidth="1"/>
    <col min="3846" max="3846" width="8.83203125" style="40"/>
    <col min="3847" max="3847" width="11.6640625" style="40" customWidth="1"/>
    <col min="3848" max="3848" width="8.83203125" style="40"/>
    <col min="3849" max="3850" width="6.6640625" style="40" bestFit="1" customWidth="1"/>
    <col min="3851" max="4098" width="8.83203125" style="40"/>
    <col min="4099" max="4099" width="34.6640625" style="40" customWidth="1"/>
    <col min="4100" max="4100" width="7.5" style="40" bestFit="1" customWidth="1"/>
    <col min="4101" max="4101" width="9.5" style="40" bestFit="1" customWidth="1"/>
    <col min="4102" max="4102" width="8.83203125" style="40"/>
    <col min="4103" max="4103" width="11.6640625" style="40" customWidth="1"/>
    <col min="4104" max="4104" width="8.83203125" style="40"/>
    <col min="4105" max="4106" width="6.6640625" style="40" bestFit="1" customWidth="1"/>
    <col min="4107" max="4354" width="8.83203125" style="40"/>
    <col min="4355" max="4355" width="34.6640625" style="40" customWidth="1"/>
    <col min="4356" max="4356" width="7.5" style="40" bestFit="1" customWidth="1"/>
    <col min="4357" max="4357" width="9.5" style="40" bestFit="1" customWidth="1"/>
    <col min="4358" max="4358" width="8.83203125" style="40"/>
    <col min="4359" max="4359" width="11.6640625" style="40" customWidth="1"/>
    <col min="4360" max="4360" width="8.83203125" style="40"/>
    <col min="4361" max="4362" width="6.6640625" style="40" bestFit="1" customWidth="1"/>
    <col min="4363" max="4610" width="8.83203125" style="40"/>
    <col min="4611" max="4611" width="34.6640625" style="40" customWidth="1"/>
    <col min="4612" max="4612" width="7.5" style="40" bestFit="1" customWidth="1"/>
    <col min="4613" max="4613" width="9.5" style="40" bestFit="1" customWidth="1"/>
    <col min="4614" max="4614" width="8.83203125" style="40"/>
    <col min="4615" max="4615" width="11.6640625" style="40" customWidth="1"/>
    <col min="4616" max="4616" width="8.83203125" style="40"/>
    <col min="4617" max="4618" width="6.6640625" style="40" bestFit="1" customWidth="1"/>
    <col min="4619" max="4866" width="8.83203125" style="40"/>
    <col min="4867" max="4867" width="34.6640625" style="40" customWidth="1"/>
    <col min="4868" max="4868" width="7.5" style="40" bestFit="1" customWidth="1"/>
    <col min="4869" max="4869" width="9.5" style="40" bestFit="1" customWidth="1"/>
    <col min="4870" max="4870" width="8.83203125" style="40"/>
    <col min="4871" max="4871" width="11.6640625" style="40" customWidth="1"/>
    <col min="4872" max="4872" width="8.83203125" style="40"/>
    <col min="4873" max="4874" width="6.6640625" style="40" bestFit="1" customWidth="1"/>
    <col min="4875" max="5122" width="8.83203125" style="40"/>
    <col min="5123" max="5123" width="34.6640625" style="40" customWidth="1"/>
    <col min="5124" max="5124" width="7.5" style="40" bestFit="1" customWidth="1"/>
    <col min="5125" max="5125" width="9.5" style="40" bestFit="1" customWidth="1"/>
    <col min="5126" max="5126" width="8.83203125" style="40"/>
    <col min="5127" max="5127" width="11.6640625" style="40" customWidth="1"/>
    <col min="5128" max="5128" width="8.83203125" style="40"/>
    <col min="5129" max="5130" width="6.6640625" style="40" bestFit="1" customWidth="1"/>
    <col min="5131" max="5378" width="8.83203125" style="40"/>
    <col min="5379" max="5379" width="34.6640625" style="40" customWidth="1"/>
    <col min="5380" max="5380" width="7.5" style="40" bestFit="1" customWidth="1"/>
    <col min="5381" max="5381" width="9.5" style="40" bestFit="1" customWidth="1"/>
    <col min="5382" max="5382" width="8.83203125" style="40"/>
    <col min="5383" max="5383" width="11.6640625" style="40" customWidth="1"/>
    <col min="5384" max="5384" width="8.83203125" style="40"/>
    <col min="5385" max="5386" width="6.6640625" style="40" bestFit="1" customWidth="1"/>
    <col min="5387" max="5634" width="8.83203125" style="40"/>
    <col min="5635" max="5635" width="34.6640625" style="40" customWidth="1"/>
    <col min="5636" max="5636" width="7.5" style="40" bestFit="1" customWidth="1"/>
    <col min="5637" max="5637" width="9.5" style="40" bestFit="1" customWidth="1"/>
    <col min="5638" max="5638" width="8.83203125" style="40"/>
    <col min="5639" max="5639" width="11.6640625" style="40" customWidth="1"/>
    <col min="5640" max="5640" width="8.83203125" style="40"/>
    <col min="5641" max="5642" width="6.6640625" style="40" bestFit="1" customWidth="1"/>
    <col min="5643" max="5890" width="8.83203125" style="40"/>
    <col min="5891" max="5891" width="34.6640625" style="40" customWidth="1"/>
    <col min="5892" max="5892" width="7.5" style="40" bestFit="1" customWidth="1"/>
    <col min="5893" max="5893" width="9.5" style="40" bestFit="1" customWidth="1"/>
    <col min="5894" max="5894" width="8.83203125" style="40"/>
    <col min="5895" max="5895" width="11.6640625" style="40" customWidth="1"/>
    <col min="5896" max="5896" width="8.83203125" style="40"/>
    <col min="5897" max="5898" width="6.6640625" style="40" bestFit="1" customWidth="1"/>
    <col min="5899" max="6146" width="8.83203125" style="40"/>
    <col min="6147" max="6147" width="34.6640625" style="40" customWidth="1"/>
    <col min="6148" max="6148" width="7.5" style="40" bestFit="1" customWidth="1"/>
    <col min="6149" max="6149" width="9.5" style="40" bestFit="1" customWidth="1"/>
    <col min="6150" max="6150" width="8.83203125" style="40"/>
    <col min="6151" max="6151" width="11.6640625" style="40" customWidth="1"/>
    <col min="6152" max="6152" width="8.83203125" style="40"/>
    <col min="6153" max="6154" width="6.6640625" style="40" bestFit="1" customWidth="1"/>
    <col min="6155" max="6402" width="8.83203125" style="40"/>
    <col min="6403" max="6403" width="34.6640625" style="40" customWidth="1"/>
    <col min="6404" max="6404" width="7.5" style="40" bestFit="1" customWidth="1"/>
    <col min="6405" max="6405" width="9.5" style="40" bestFit="1" customWidth="1"/>
    <col min="6406" max="6406" width="8.83203125" style="40"/>
    <col min="6407" max="6407" width="11.6640625" style="40" customWidth="1"/>
    <col min="6408" max="6408" width="8.83203125" style="40"/>
    <col min="6409" max="6410" width="6.6640625" style="40" bestFit="1" customWidth="1"/>
    <col min="6411" max="6658" width="8.83203125" style="40"/>
    <col min="6659" max="6659" width="34.6640625" style="40" customWidth="1"/>
    <col min="6660" max="6660" width="7.5" style="40" bestFit="1" customWidth="1"/>
    <col min="6661" max="6661" width="9.5" style="40" bestFit="1" customWidth="1"/>
    <col min="6662" max="6662" width="8.83203125" style="40"/>
    <col min="6663" max="6663" width="11.6640625" style="40" customWidth="1"/>
    <col min="6664" max="6664" width="8.83203125" style="40"/>
    <col min="6665" max="6666" width="6.6640625" style="40" bestFit="1" customWidth="1"/>
    <col min="6667" max="6914" width="8.83203125" style="40"/>
    <col min="6915" max="6915" width="34.6640625" style="40" customWidth="1"/>
    <col min="6916" max="6916" width="7.5" style="40" bestFit="1" customWidth="1"/>
    <col min="6917" max="6917" width="9.5" style="40" bestFit="1" customWidth="1"/>
    <col min="6918" max="6918" width="8.83203125" style="40"/>
    <col min="6919" max="6919" width="11.6640625" style="40" customWidth="1"/>
    <col min="6920" max="6920" width="8.83203125" style="40"/>
    <col min="6921" max="6922" width="6.6640625" style="40" bestFit="1" customWidth="1"/>
    <col min="6923" max="7170" width="8.83203125" style="40"/>
    <col min="7171" max="7171" width="34.6640625" style="40" customWidth="1"/>
    <col min="7172" max="7172" width="7.5" style="40" bestFit="1" customWidth="1"/>
    <col min="7173" max="7173" width="9.5" style="40" bestFit="1" customWidth="1"/>
    <col min="7174" max="7174" width="8.83203125" style="40"/>
    <col min="7175" max="7175" width="11.6640625" style="40" customWidth="1"/>
    <col min="7176" max="7176" width="8.83203125" style="40"/>
    <col min="7177" max="7178" width="6.6640625" style="40" bestFit="1" customWidth="1"/>
    <col min="7179" max="7426" width="8.83203125" style="40"/>
    <col min="7427" max="7427" width="34.6640625" style="40" customWidth="1"/>
    <col min="7428" max="7428" width="7.5" style="40" bestFit="1" customWidth="1"/>
    <col min="7429" max="7429" width="9.5" style="40" bestFit="1" customWidth="1"/>
    <col min="7430" max="7430" width="8.83203125" style="40"/>
    <col min="7431" max="7431" width="11.6640625" style="40" customWidth="1"/>
    <col min="7432" max="7432" width="8.83203125" style="40"/>
    <col min="7433" max="7434" width="6.6640625" style="40" bestFit="1" customWidth="1"/>
    <col min="7435" max="7682" width="8.83203125" style="40"/>
    <col min="7683" max="7683" width="34.6640625" style="40" customWidth="1"/>
    <col min="7684" max="7684" width="7.5" style="40" bestFit="1" customWidth="1"/>
    <col min="7685" max="7685" width="9.5" style="40" bestFit="1" customWidth="1"/>
    <col min="7686" max="7686" width="8.83203125" style="40"/>
    <col min="7687" max="7687" width="11.6640625" style="40" customWidth="1"/>
    <col min="7688" max="7688" width="8.83203125" style="40"/>
    <col min="7689" max="7690" width="6.6640625" style="40" bestFit="1" customWidth="1"/>
    <col min="7691" max="7938" width="8.83203125" style="40"/>
    <col min="7939" max="7939" width="34.6640625" style="40" customWidth="1"/>
    <col min="7940" max="7940" width="7.5" style="40" bestFit="1" customWidth="1"/>
    <col min="7941" max="7941" width="9.5" style="40" bestFit="1" customWidth="1"/>
    <col min="7942" max="7942" width="8.83203125" style="40"/>
    <col min="7943" max="7943" width="11.6640625" style="40" customWidth="1"/>
    <col min="7944" max="7944" width="8.83203125" style="40"/>
    <col min="7945" max="7946" width="6.6640625" style="40" bestFit="1" customWidth="1"/>
    <col min="7947" max="8194" width="8.83203125" style="40"/>
    <col min="8195" max="8195" width="34.6640625" style="40" customWidth="1"/>
    <col min="8196" max="8196" width="7.5" style="40" bestFit="1" customWidth="1"/>
    <col min="8197" max="8197" width="9.5" style="40" bestFit="1" customWidth="1"/>
    <col min="8198" max="8198" width="8.83203125" style="40"/>
    <col min="8199" max="8199" width="11.6640625" style="40" customWidth="1"/>
    <col min="8200" max="8200" width="8.83203125" style="40"/>
    <col min="8201" max="8202" width="6.6640625" style="40" bestFit="1" customWidth="1"/>
    <col min="8203" max="8450" width="8.83203125" style="40"/>
    <col min="8451" max="8451" width="34.6640625" style="40" customWidth="1"/>
    <col min="8452" max="8452" width="7.5" style="40" bestFit="1" customWidth="1"/>
    <col min="8453" max="8453" width="9.5" style="40" bestFit="1" customWidth="1"/>
    <col min="8454" max="8454" width="8.83203125" style="40"/>
    <col min="8455" max="8455" width="11.6640625" style="40" customWidth="1"/>
    <col min="8456" max="8456" width="8.83203125" style="40"/>
    <col min="8457" max="8458" width="6.6640625" style="40" bestFit="1" customWidth="1"/>
    <col min="8459" max="8706" width="8.83203125" style="40"/>
    <col min="8707" max="8707" width="34.6640625" style="40" customWidth="1"/>
    <col min="8708" max="8708" width="7.5" style="40" bestFit="1" customWidth="1"/>
    <col min="8709" max="8709" width="9.5" style="40" bestFit="1" customWidth="1"/>
    <col min="8710" max="8710" width="8.83203125" style="40"/>
    <col min="8711" max="8711" width="11.6640625" style="40" customWidth="1"/>
    <col min="8712" max="8712" width="8.83203125" style="40"/>
    <col min="8713" max="8714" width="6.6640625" style="40" bestFit="1" customWidth="1"/>
    <col min="8715" max="8962" width="8.83203125" style="40"/>
    <col min="8963" max="8963" width="34.6640625" style="40" customWidth="1"/>
    <col min="8964" max="8964" width="7.5" style="40" bestFit="1" customWidth="1"/>
    <col min="8965" max="8965" width="9.5" style="40" bestFit="1" customWidth="1"/>
    <col min="8966" max="8966" width="8.83203125" style="40"/>
    <col min="8967" max="8967" width="11.6640625" style="40" customWidth="1"/>
    <col min="8968" max="8968" width="8.83203125" style="40"/>
    <col min="8969" max="8970" width="6.6640625" style="40" bestFit="1" customWidth="1"/>
    <col min="8971" max="9218" width="8.83203125" style="40"/>
    <col min="9219" max="9219" width="34.6640625" style="40" customWidth="1"/>
    <col min="9220" max="9220" width="7.5" style="40" bestFit="1" customWidth="1"/>
    <col min="9221" max="9221" width="9.5" style="40" bestFit="1" customWidth="1"/>
    <col min="9222" max="9222" width="8.83203125" style="40"/>
    <col min="9223" max="9223" width="11.6640625" style="40" customWidth="1"/>
    <col min="9224" max="9224" width="8.83203125" style="40"/>
    <col min="9225" max="9226" width="6.6640625" style="40" bestFit="1" customWidth="1"/>
    <col min="9227" max="9474" width="8.83203125" style="40"/>
    <col min="9475" max="9475" width="34.6640625" style="40" customWidth="1"/>
    <col min="9476" max="9476" width="7.5" style="40" bestFit="1" customWidth="1"/>
    <col min="9477" max="9477" width="9.5" style="40" bestFit="1" customWidth="1"/>
    <col min="9478" max="9478" width="8.83203125" style="40"/>
    <col min="9479" max="9479" width="11.6640625" style="40" customWidth="1"/>
    <col min="9480" max="9480" width="8.83203125" style="40"/>
    <col min="9481" max="9482" width="6.6640625" style="40" bestFit="1" customWidth="1"/>
    <col min="9483" max="9730" width="8.83203125" style="40"/>
    <col min="9731" max="9731" width="34.6640625" style="40" customWidth="1"/>
    <col min="9732" max="9732" width="7.5" style="40" bestFit="1" customWidth="1"/>
    <col min="9733" max="9733" width="9.5" style="40" bestFit="1" customWidth="1"/>
    <col min="9734" max="9734" width="8.83203125" style="40"/>
    <col min="9735" max="9735" width="11.6640625" style="40" customWidth="1"/>
    <col min="9736" max="9736" width="8.83203125" style="40"/>
    <col min="9737" max="9738" width="6.6640625" style="40" bestFit="1" customWidth="1"/>
    <col min="9739" max="9986" width="8.83203125" style="40"/>
    <col min="9987" max="9987" width="34.6640625" style="40" customWidth="1"/>
    <col min="9988" max="9988" width="7.5" style="40" bestFit="1" customWidth="1"/>
    <col min="9989" max="9989" width="9.5" style="40" bestFit="1" customWidth="1"/>
    <col min="9990" max="9990" width="8.83203125" style="40"/>
    <col min="9991" max="9991" width="11.6640625" style="40" customWidth="1"/>
    <col min="9992" max="9992" width="8.83203125" style="40"/>
    <col min="9993" max="9994" width="6.6640625" style="40" bestFit="1" customWidth="1"/>
    <col min="9995" max="10242" width="8.83203125" style="40"/>
    <col min="10243" max="10243" width="34.6640625" style="40" customWidth="1"/>
    <col min="10244" max="10244" width="7.5" style="40" bestFit="1" customWidth="1"/>
    <col min="10245" max="10245" width="9.5" style="40" bestFit="1" customWidth="1"/>
    <col min="10246" max="10246" width="8.83203125" style="40"/>
    <col min="10247" max="10247" width="11.6640625" style="40" customWidth="1"/>
    <col min="10248" max="10248" width="8.83203125" style="40"/>
    <col min="10249" max="10250" width="6.6640625" style="40" bestFit="1" customWidth="1"/>
    <col min="10251" max="10498" width="8.83203125" style="40"/>
    <col min="10499" max="10499" width="34.6640625" style="40" customWidth="1"/>
    <col min="10500" max="10500" width="7.5" style="40" bestFit="1" customWidth="1"/>
    <col min="10501" max="10501" width="9.5" style="40" bestFit="1" customWidth="1"/>
    <col min="10502" max="10502" width="8.83203125" style="40"/>
    <col min="10503" max="10503" width="11.6640625" style="40" customWidth="1"/>
    <col min="10504" max="10504" width="8.83203125" style="40"/>
    <col min="10505" max="10506" width="6.6640625" style="40" bestFit="1" customWidth="1"/>
    <col min="10507" max="10754" width="8.83203125" style="40"/>
    <col min="10755" max="10755" width="34.6640625" style="40" customWidth="1"/>
    <col min="10756" max="10756" width="7.5" style="40" bestFit="1" customWidth="1"/>
    <col min="10757" max="10757" width="9.5" style="40" bestFit="1" customWidth="1"/>
    <col min="10758" max="10758" width="8.83203125" style="40"/>
    <col min="10759" max="10759" width="11.6640625" style="40" customWidth="1"/>
    <col min="10760" max="10760" width="8.83203125" style="40"/>
    <col min="10761" max="10762" width="6.6640625" style="40" bestFit="1" customWidth="1"/>
    <col min="10763" max="11010" width="8.83203125" style="40"/>
    <col min="11011" max="11011" width="34.6640625" style="40" customWidth="1"/>
    <col min="11012" max="11012" width="7.5" style="40" bestFit="1" customWidth="1"/>
    <col min="11013" max="11013" width="9.5" style="40" bestFit="1" customWidth="1"/>
    <col min="11014" max="11014" width="8.83203125" style="40"/>
    <col min="11015" max="11015" width="11.6640625" style="40" customWidth="1"/>
    <col min="11016" max="11016" width="8.83203125" style="40"/>
    <col min="11017" max="11018" width="6.6640625" style="40" bestFit="1" customWidth="1"/>
    <col min="11019" max="11266" width="8.83203125" style="40"/>
    <col min="11267" max="11267" width="34.6640625" style="40" customWidth="1"/>
    <col min="11268" max="11268" width="7.5" style="40" bestFit="1" customWidth="1"/>
    <col min="11269" max="11269" width="9.5" style="40" bestFit="1" customWidth="1"/>
    <col min="11270" max="11270" width="8.83203125" style="40"/>
    <col min="11271" max="11271" width="11.6640625" style="40" customWidth="1"/>
    <col min="11272" max="11272" width="8.83203125" style="40"/>
    <col min="11273" max="11274" width="6.6640625" style="40" bestFit="1" customWidth="1"/>
    <col min="11275" max="11522" width="8.83203125" style="40"/>
    <col min="11523" max="11523" width="34.6640625" style="40" customWidth="1"/>
    <col min="11524" max="11524" width="7.5" style="40" bestFit="1" customWidth="1"/>
    <col min="11525" max="11525" width="9.5" style="40" bestFit="1" customWidth="1"/>
    <col min="11526" max="11526" width="8.83203125" style="40"/>
    <col min="11527" max="11527" width="11.6640625" style="40" customWidth="1"/>
    <col min="11528" max="11528" width="8.83203125" style="40"/>
    <col min="11529" max="11530" width="6.6640625" style="40" bestFit="1" customWidth="1"/>
    <col min="11531" max="11778" width="8.83203125" style="40"/>
    <col min="11779" max="11779" width="34.6640625" style="40" customWidth="1"/>
    <col min="11780" max="11780" width="7.5" style="40" bestFit="1" customWidth="1"/>
    <col min="11781" max="11781" width="9.5" style="40" bestFit="1" customWidth="1"/>
    <col min="11782" max="11782" width="8.83203125" style="40"/>
    <col min="11783" max="11783" width="11.6640625" style="40" customWidth="1"/>
    <col min="11784" max="11784" width="8.83203125" style="40"/>
    <col min="11785" max="11786" width="6.6640625" style="40" bestFit="1" customWidth="1"/>
    <col min="11787" max="12034" width="8.83203125" style="40"/>
    <col min="12035" max="12035" width="34.6640625" style="40" customWidth="1"/>
    <col min="12036" max="12036" width="7.5" style="40" bestFit="1" customWidth="1"/>
    <col min="12037" max="12037" width="9.5" style="40" bestFit="1" customWidth="1"/>
    <col min="12038" max="12038" width="8.83203125" style="40"/>
    <col min="12039" max="12039" width="11.6640625" style="40" customWidth="1"/>
    <col min="12040" max="12040" width="8.83203125" style="40"/>
    <col min="12041" max="12042" width="6.6640625" style="40" bestFit="1" customWidth="1"/>
    <col min="12043" max="12290" width="8.83203125" style="40"/>
    <col min="12291" max="12291" width="34.6640625" style="40" customWidth="1"/>
    <col min="12292" max="12292" width="7.5" style="40" bestFit="1" customWidth="1"/>
    <col min="12293" max="12293" width="9.5" style="40" bestFit="1" customWidth="1"/>
    <col min="12294" max="12294" width="8.83203125" style="40"/>
    <col min="12295" max="12295" width="11.6640625" style="40" customWidth="1"/>
    <col min="12296" max="12296" width="8.83203125" style="40"/>
    <col min="12297" max="12298" width="6.6640625" style="40" bestFit="1" customWidth="1"/>
    <col min="12299" max="12546" width="8.83203125" style="40"/>
    <col min="12547" max="12547" width="34.6640625" style="40" customWidth="1"/>
    <col min="12548" max="12548" width="7.5" style="40" bestFit="1" customWidth="1"/>
    <col min="12549" max="12549" width="9.5" style="40" bestFit="1" customWidth="1"/>
    <col min="12550" max="12550" width="8.83203125" style="40"/>
    <col min="12551" max="12551" width="11.6640625" style="40" customWidth="1"/>
    <col min="12552" max="12552" width="8.83203125" style="40"/>
    <col min="12553" max="12554" width="6.6640625" style="40" bestFit="1" customWidth="1"/>
    <col min="12555" max="12802" width="8.83203125" style="40"/>
    <col min="12803" max="12803" width="34.6640625" style="40" customWidth="1"/>
    <col min="12804" max="12804" width="7.5" style="40" bestFit="1" customWidth="1"/>
    <col min="12805" max="12805" width="9.5" style="40" bestFit="1" customWidth="1"/>
    <col min="12806" max="12806" width="8.83203125" style="40"/>
    <col min="12807" max="12807" width="11.6640625" style="40" customWidth="1"/>
    <col min="12808" max="12808" width="8.83203125" style="40"/>
    <col min="12809" max="12810" width="6.6640625" style="40" bestFit="1" customWidth="1"/>
    <col min="12811" max="13058" width="8.83203125" style="40"/>
    <col min="13059" max="13059" width="34.6640625" style="40" customWidth="1"/>
    <col min="13060" max="13060" width="7.5" style="40" bestFit="1" customWidth="1"/>
    <col min="13061" max="13061" width="9.5" style="40" bestFit="1" customWidth="1"/>
    <col min="13062" max="13062" width="8.83203125" style="40"/>
    <col min="13063" max="13063" width="11.6640625" style="40" customWidth="1"/>
    <col min="13064" max="13064" width="8.83203125" style="40"/>
    <col min="13065" max="13066" width="6.6640625" style="40" bestFit="1" customWidth="1"/>
    <col min="13067" max="13314" width="8.83203125" style="40"/>
    <col min="13315" max="13315" width="34.6640625" style="40" customWidth="1"/>
    <col min="13316" max="13316" width="7.5" style="40" bestFit="1" customWidth="1"/>
    <col min="13317" max="13317" width="9.5" style="40" bestFit="1" customWidth="1"/>
    <col min="13318" max="13318" width="8.83203125" style="40"/>
    <col min="13319" max="13319" width="11.6640625" style="40" customWidth="1"/>
    <col min="13320" max="13320" width="8.83203125" style="40"/>
    <col min="13321" max="13322" width="6.6640625" style="40" bestFit="1" customWidth="1"/>
    <col min="13323" max="13570" width="8.83203125" style="40"/>
    <col min="13571" max="13571" width="34.6640625" style="40" customWidth="1"/>
    <col min="13572" max="13572" width="7.5" style="40" bestFit="1" customWidth="1"/>
    <col min="13573" max="13573" width="9.5" style="40" bestFit="1" customWidth="1"/>
    <col min="13574" max="13574" width="8.83203125" style="40"/>
    <col min="13575" max="13575" width="11.6640625" style="40" customWidth="1"/>
    <col min="13576" max="13576" width="8.83203125" style="40"/>
    <col min="13577" max="13578" width="6.6640625" style="40" bestFit="1" customWidth="1"/>
    <col min="13579" max="13826" width="8.83203125" style="40"/>
    <col min="13827" max="13827" width="34.6640625" style="40" customWidth="1"/>
    <col min="13828" max="13828" width="7.5" style="40" bestFit="1" customWidth="1"/>
    <col min="13829" max="13829" width="9.5" style="40" bestFit="1" customWidth="1"/>
    <col min="13830" max="13830" width="8.83203125" style="40"/>
    <col min="13831" max="13831" width="11.6640625" style="40" customWidth="1"/>
    <col min="13832" max="13832" width="8.83203125" style="40"/>
    <col min="13833" max="13834" width="6.6640625" style="40" bestFit="1" customWidth="1"/>
    <col min="13835" max="14082" width="8.83203125" style="40"/>
    <col min="14083" max="14083" width="34.6640625" style="40" customWidth="1"/>
    <col min="14084" max="14084" width="7.5" style="40" bestFit="1" customWidth="1"/>
    <col min="14085" max="14085" width="9.5" style="40" bestFit="1" customWidth="1"/>
    <col min="14086" max="14086" width="8.83203125" style="40"/>
    <col min="14087" max="14087" width="11.6640625" style="40" customWidth="1"/>
    <col min="14088" max="14088" width="8.83203125" style="40"/>
    <col min="14089" max="14090" width="6.6640625" style="40" bestFit="1" customWidth="1"/>
    <col min="14091" max="14338" width="8.83203125" style="40"/>
    <col min="14339" max="14339" width="34.6640625" style="40" customWidth="1"/>
    <col min="14340" max="14340" width="7.5" style="40" bestFit="1" customWidth="1"/>
    <col min="14341" max="14341" width="9.5" style="40" bestFit="1" customWidth="1"/>
    <col min="14342" max="14342" width="8.83203125" style="40"/>
    <col min="14343" max="14343" width="11.6640625" style="40" customWidth="1"/>
    <col min="14344" max="14344" width="8.83203125" style="40"/>
    <col min="14345" max="14346" width="6.6640625" style="40" bestFit="1" customWidth="1"/>
    <col min="14347" max="14594" width="8.83203125" style="40"/>
    <col min="14595" max="14595" width="34.6640625" style="40" customWidth="1"/>
    <col min="14596" max="14596" width="7.5" style="40" bestFit="1" customWidth="1"/>
    <col min="14597" max="14597" width="9.5" style="40" bestFit="1" customWidth="1"/>
    <col min="14598" max="14598" width="8.83203125" style="40"/>
    <col min="14599" max="14599" width="11.6640625" style="40" customWidth="1"/>
    <col min="14600" max="14600" width="8.83203125" style="40"/>
    <col min="14601" max="14602" width="6.6640625" style="40" bestFit="1" customWidth="1"/>
    <col min="14603" max="14850" width="8.83203125" style="40"/>
    <col min="14851" max="14851" width="34.6640625" style="40" customWidth="1"/>
    <col min="14852" max="14852" width="7.5" style="40" bestFit="1" customWidth="1"/>
    <col min="14853" max="14853" width="9.5" style="40" bestFit="1" customWidth="1"/>
    <col min="14854" max="14854" width="8.83203125" style="40"/>
    <col min="14855" max="14855" width="11.6640625" style="40" customWidth="1"/>
    <col min="14856" max="14856" width="8.83203125" style="40"/>
    <col min="14857" max="14858" width="6.6640625" style="40" bestFit="1" customWidth="1"/>
    <col min="14859" max="15106" width="8.83203125" style="40"/>
    <col min="15107" max="15107" width="34.6640625" style="40" customWidth="1"/>
    <col min="15108" max="15108" width="7.5" style="40" bestFit="1" customWidth="1"/>
    <col min="15109" max="15109" width="9.5" style="40" bestFit="1" customWidth="1"/>
    <col min="15110" max="15110" width="8.83203125" style="40"/>
    <col min="15111" max="15111" width="11.6640625" style="40" customWidth="1"/>
    <col min="15112" max="15112" width="8.83203125" style="40"/>
    <col min="15113" max="15114" width="6.6640625" style="40" bestFit="1" customWidth="1"/>
    <col min="15115" max="15362" width="8.83203125" style="40"/>
    <col min="15363" max="15363" width="34.6640625" style="40" customWidth="1"/>
    <col min="15364" max="15364" width="7.5" style="40" bestFit="1" customWidth="1"/>
    <col min="15365" max="15365" width="9.5" style="40" bestFit="1" customWidth="1"/>
    <col min="15366" max="15366" width="8.83203125" style="40"/>
    <col min="15367" max="15367" width="11.6640625" style="40" customWidth="1"/>
    <col min="15368" max="15368" width="8.83203125" style="40"/>
    <col min="15369" max="15370" width="6.6640625" style="40" bestFit="1" customWidth="1"/>
    <col min="15371" max="15618" width="8.83203125" style="40"/>
    <col min="15619" max="15619" width="34.6640625" style="40" customWidth="1"/>
    <col min="15620" max="15620" width="7.5" style="40" bestFit="1" customWidth="1"/>
    <col min="15621" max="15621" width="9.5" style="40" bestFit="1" customWidth="1"/>
    <col min="15622" max="15622" width="8.83203125" style="40"/>
    <col min="15623" max="15623" width="11.6640625" style="40" customWidth="1"/>
    <col min="15624" max="15624" width="8.83203125" style="40"/>
    <col min="15625" max="15626" width="6.6640625" style="40" bestFit="1" customWidth="1"/>
    <col min="15627" max="15874" width="8.83203125" style="40"/>
    <col min="15875" max="15875" width="34.6640625" style="40" customWidth="1"/>
    <col min="15876" max="15876" width="7.5" style="40" bestFit="1" customWidth="1"/>
    <col min="15877" max="15877" width="9.5" style="40" bestFit="1" customWidth="1"/>
    <col min="15878" max="15878" width="8.83203125" style="40"/>
    <col min="15879" max="15879" width="11.6640625" style="40" customWidth="1"/>
    <col min="15880" max="15880" width="8.83203125" style="40"/>
    <col min="15881" max="15882" width="6.6640625" style="40" bestFit="1" customWidth="1"/>
    <col min="15883" max="16130" width="8.83203125" style="40"/>
    <col min="16131" max="16131" width="34.6640625" style="40" customWidth="1"/>
    <col min="16132" max="16132" width="7.5" style="40" bestFit="1" customWidth="1"/>
    <col min="16133" max="16133" width="9.5" style="40" bestFit="1" customWidth="1"/>
    <col min="16134" max="16134" width="8.83203125" style="40"/>
    <col min="16135" max="16135" width="11.6640625" style="40" customWidth="1"/>
    <col min="16136" max="16136" width="8.83203125" style="40"/>
    <col min="16137" max="16138" width="6.6640625" style="40" bestFit="1" customWidth="1"/>
    <col min="16139" max="16384" width="8.83203125" style="40"/>
  </cols>
  <sheetData>
    <row r="1" spans="2:40" ht="70.5" customHeight="1">
      <c r="B1" s="59"/>
      <c r="C1" s="36"/>
      <c r="E1" s="37"/>
      <c r="G1" s="38"/>
      <c r="H1" s="37"/>
      <c r="I1" s="39"/>
      <c r="J1" s="39"/>
    </row>
    <row r="2" spans="2:40" ht="33" customHeight="1">
      <c r="B2" s="93" t="str">
        <f>IF('About My Ranch'!D12="X","The required data for the Forage/Hay Enterprise will be entered in this tab.","You did not indicate in the 'About My Ranch' Tab that you have a Forage/Hay Enterprise.")</f>
        <v>You did not indicate in the 'About My Ranch' Tab that you have a Forage/Hay Enterprise.</v>
      </c>
      <c r="C2" s="36"/>
      <c r="E2" s="37"/>
      <c r="G2" s="38"/>
      <c r="H2" s="37"/>
      <c r="I2" s="39"/>
      <c r="J2" s="39"/>
    </row>
    <row r="3" spans="2:40">
      <c r="B3" s="910"/>
      <c r="C3" s="910"/>
      <c r="D3" s="910"/>
      <c r="E3" s="910"/>
      <c r="G3" s="911"/>
      <c r="H3" s="911"/>
      <c r="I3" s="911"/>
      <c r="J3" s="911"/>
      <c r="K3" s="37"/>
    </row>
    <row r="4" spans="2:40" ht="36.75" customHeight="1">
      <c r="B4" s="359"/>
      <c r="C4" s="359"/>
      <c r="D4" s="359"/>
      <c r="E4" s="359"/>
      <c r="G4" s="358"/>
      <c r="H4" s="358"/>
      <c r="I4" s="358"/>
      <c r="J4" s="358"/>
      <c r="K4" s="37"/>
    </row>
    <row r="5" spans="2:40" s="74" customFormat="1" ht="36.75" customHeight="1">
      <c r="B5" s="555" t="s">
        <v>393</v>
      </c>
      <c r="C5" s="252"/>
      <c r="D5" s="420" t="s">
        <v>237</v>
      </c>
      <c r="E5" s="73"/>
      <c r="F5" s="841" t="s">
        <v>197</v>
      </c>
      <c r="G5" s="842"/>
      <c r="H5" s="843" t="s">
        <v>334</v>
      </c>
      <c r="I5" s="844"/>
      <c r="J5" s="912" t="s">
        <v>378</v>
      </c>
      <c r="K5" s="257"/>
      <c r="L5" s="914" t="s">
        <v>355</v>
      </c>
      <c r="M5" s="840"/>
      <c r="N5" s="907" t="s">
        <v>334</v>
      </c>
      <c r="O5" s="257"/>
      <c r="P5" s="908" t="s">
        <v>607</v>
      </c>
      <c r="Q5" s="838"/>
      <c r="R5" s="909" t="s">
        <v>334</v>
      </c>
      <c r="S5" s="839"/>
      <c r="T5" s="908" t="s">
        <v>608</v>
      </c>
      <c r="U5" s="382"/>
      <c r="V5" s="260"/>
      <c r="W5" s="260"/>
      <c r="X5" s="404"/>
      <c r="Y5" s="404"/>
      <c r="Z5" s="260"/>
      <c r="AA5" s="260"/>
      <c r="AC5" s="260"/>
      <c r="AD5" s="260"/>
      <c r="AE5" s="260"/>
      <c r="AF5" s="260"/>
      <c r="AG5" s="260"/>
      <c r="AH5" s="260"/>
      <c r="AK5" s="260"/>
      <c r="AL5" s="260"/>
      <c r="AM5" s="260"/>
      <c r="AN5" s="260"/>
    </row>
    <row r="6" spans="2:40" s="74" customFormat="1" ht="17.25" customHeight="1">
      <c r="B6" s="846" t="s">
        <v>614</v>
      </c>
      <c r="C6" s="252"/>
      <c r="D6" s="253"/>
      <c r="E6" s="73"/>
      <c r="F6" s="845"/>
      <c r="G6" s="842"/>
      <c r="H6" s="843"/>
      <c r="I6" s="844"/>
      <c r="J6" s="913"/>
      <c r="K6" s="257"/>
      <c r="L6" s="914"/>
      <c r="M6" s="840"/>
      <c r="N6" s="907"/>
      <c r="O6" s="257"/>
      <c r="P6" s="908"/>
      <c r="Q6" s="838"/>
      <c r="R6" s="909"/>
      <c r="S6" s="839"/>
      <c r="T6" s="908"/>
      <c r="U6" s="382"/>
      <c r="V6" s="260"/>
      <c r="W6" s="260"/>
      <c r="X6"/>
      <c r="Y6" s="403"/>
      <c r="Z6" s="260"/>
      <c r="AA6" s="260"/>
      <c r="AC6" s="260"/>
      <c r="AD6" s="260"/>
      <c r="AE6" s="260"/>
      <c r="AF6" s="260"/>
      <c r="AG6" s="260"/>
      <c r="AH6" s="260"/>
      <c r="AK6" s="260"/>
      <c r="AL6" s="260"/>
      <c r="AM6" s="260"/>
      <c r="AN6" s="260"/>
    </row>
    <row r="7" spans="2:40" s="74" customFormat="1" ht="21.75" customHeight="1">
      <c r="B7" s="653" t="s">
        <v>368</v>
      </c>
      <c r="C7" s="208"/>
      <c r="D7" s="311"/>
      <c r="E7" s="325"/>
      <c r="F7" s="400"/>
      <c r="G7" s="325"/>
      <c r="H7" s="445"/>
      <c r="I7" s="312"/>
      <c r="J7" s="609"/>
      <c r="K7" s="308"/>
      <c r="L7" s="654"/>
      <c r="M7" s="308"/>
      <c r="N7" s="327" t="s">
        <v>334</v>
      </c>
      <c r="O7" s="313"/>
      <c r="P7" s="848"/>
      <c r="Q7" s="313"/>
      <c r="R7" s="327" t="s">
        <v>334</v>
      </c>
      <c r="S7" s="78"/>
      <c r="T7" s="847"/>
      <c r="U7" s="384"/>
      <c r="V7"/>
      <c r="W7"/>
      <c r="X7" s="401"/>
      <c r="Y7" s="2"/>
      <c r="Z7"/>
      <c r="AA7"/>
      <c r="AC7"/>
      <c r="AD7"/>
      <c r="AE7"/>
      <c r="AF7"/>
      <c r="AG7"/>
      <c r="AH7"/>
      <c r="AK7"/>
      <c r="AL7"/>
      <c r="AM7"/>
      <c r="AN7"/>
    </row>
    <row r="8" spans="2:40" s="74" customFormat="1" ht="8.25" customHeight="1">
      <c r="B8" s="252"/>
      <c r="C8" s="207"/>
      <c r="D8" s="315"/>
      <c r="E8" s="325"/>
      <c r="F8" s="315"/>
      <c r="G8" s="325"/>
      <c r="H8" s="446"/>
      <c r="I8" s="315"/>
      <c r="J8" s="310"/>
      <c r="K8" s="308"/>
      <c r="L8" s="423"/>
      <c r="M8" s="308"/>
      <c r="N8" s="313"/>
      <c r="O8" s="314"/>
      <c r="P8" s="313"/>
      <c r="Q8" s="313"/>
      <c r="R8" s="313"/>
      <c r="S8" s="78"/>
      <c r="T8" s="313"/>
      <c r="U8" s="78"/>
      <c r="V8"/>
      <c r="W8"/>
      <c r="X8" s="401"/>
      <c r="Y8" s="2"/>
      <c r="Z8"/>
      <c r="AA8"/>
      <c r="AC8"/>
      <c r="AD8"/>
      <c r="AE8"/>
      <c r="AF8"/>
      <c r="AG8"/>
      <c r="AH8"/>
      <c r="AK8"/>
      <c r="AL8"/>
      <c r="AM8"/>
      <c r="AN8"/>
    </row>
    <row r="9" spans="2:40" s="74" customFormat="1" ht="22.5" customHeight="1">
      <c r="B9" s="653" t="s">
        <v>369</v>
      </c>
      <c r="C9" s="208"/>
      <c r="D9" s="311"/>
      <c r="E9" s="325"/>
      <c r="F9" s="311"/>
      <c r="G9" s="325"/>
      <c r="H9" s="445"/>
      <c r="I9" s="312"/>
      <c r="J9" s="609"/>
      <c r="K9" s="308"/>
      <c r="L9" s="654"/>
      <c r="M9" s="308"/>
      <c r="N9" s="313"/>
      <c r="O9" s="313"/>
      <c r="P9" s="638"/>
      <c r="Q9" s="313"/>
      <c r="R9" s="313"/>
      <c r="S9" s="78"/>
      <c r="T9" s="847"/>
      <c r="U9" s="78"/>
      <c r="V9"/>
      <c r="W9"/>
      <c r="X9" s="401"/>
      <c r="Y9" s="2"/>
      <c r="Z9"/>
      <c r="AA9"/>
      <c r="AC9"/>
      <c r="AD9"/>
      <c r="AE9"/>
      <c r="AF9"/>
      <c r="AG9"/>
      <c r="AH9"/>
      <c r="AK9"/>
      <c r="AL9"/>
      <c r="AM9"/>
      <c r="AN9"/>
    </row>
    <row r="10" spans="2:40" s="74" customFormat="1" ht="8.25" customHeight="1">
      <c r="B10" s="261"/>
      <c r="C10" s="208"/>
      <c r="D10" s="312"/>
      <c r="E10" s="325"/>
      <c r="F10" s="312"/>
      <c r="G10" s="325"/>
      <c r="H10" s="352"/>
      <c r="I10" s="312"/>
      <c r="J10" s="310"/>
      <c r="K10" s="308"/>
      <c r="L10" s="423"/>
      <c r="M10" s="308"/>
      <c r="N10" s="313"/>
      <c r="O10" s="313"/>
      <c r="P10" s="313"/>
      <c r="Q10" s="313"/>
      <c r="R10" s="313"/>
      <c r="S10" s="78"/>
      <c r="T10" s="313"/>
      <c r="U10" s="78"/>
      <c r="V10"/>
      <c r="W10"/>
      <c r="X10"/>
      <c r="Y10" s="2"/>
      <c r="Z10"/>
      <c r="AA10"/>
      <c r="AC10"/>
      <c r="AD10"/>
      <c r="AE10"/>
      <c r="AF10"/>
      <c r="AG10"/>
      <c r="AH10"/>
      <c r="AK10"/>
      <c r="AL10"/>
      <c r="AM10"/>
      <c r="AN10"/>
    </row>
    <row r="11" spans="2:40" s="74" customFormat="1" ht="22.5" customHeight="1">
      <c r="B11" s="653" t="s">
        <v>376</v>
      </c>
      <c r="C11" s="208"/>
      <c r="D11" s="311"/>
      <c r="E11" s="325"/>
      <c r="F11" s="311"/>
      <c r="G11" s="325"/>
      <c r="H11" s="445"/>
      <c r="I11" s="312"/>
      <c r="J11" s="609"/>
      <c r="K11" s="308"/>
      <c r="L11" s="654"/>
      <c r="M11" s="308"/>
      <c r="N11" s="313"/>
      <c r="O11" s="313"/>
      <c r="P11" s="638"/>
      <c r="Q11" s="313"/>
      <c r="R11" s="313"/>
      <c r="S11" s="78"/>
      <c r="T11" s="847"/>
      <c r="U11" s="78"/>
      <c r="V11"/>
      <c r="W11"/>
      <c r="X11"/>
      <c r="Y11" s="2"/>
      <c r="Z11"/>
      <c r="AA11"/>
      <c r="AC11"/>
      <c r="AD11"/>
      <c r="AE11"/>
      <c r="AF11"/>
      <c r="AG11"/>
      <c r="AH11"/>
      <c r="AK11"/>
      <c r="AL11"/>
      <c r="AM11"/>
      <c r="AN11"/>
    </row>
    <row r="12" spans="2:40" s="74" customFormat="1" ht="6.75" customHeight="1">
      <c r="B12" s="261"/>
      <c r="C12" s="208"/>
      <c r="D12" s="209"/>
      <c r="E12" s="73"/>
      <c r="F12" s="209"/>
      <c r="G12" s="73"/>
      <c r="H12" s="447"/>
      <c r="I12" s="209"/>
      <c r="J12" s="210"/>
      <c r="K12" s="210"/>
      <c r="L12" s="423"/>
      <c r="M12" s="210"/>
      <c r="N12" s="211"/>
      <c r="O12" s="211"/>
      <c r="P12" s="213"/>
      <c r="Q12" s="213"/>
      <c r="R12" s="211"/>
      <c r="S12" s="78"/>
      <c r="T12" s="211"/>
      <c r="U12" s="78"/>
      <c r="V12"/>
      <c r="W12"/>
      <c r="X12"/>
      <c r="Y12" s="2"/>
      <c r="Z12"/>
      <c r="AA12"/>
      <c r="AC12"/>
      <c r="AD12"/>
      <c r="AE12"/>
      <c r="AF12"/>
      <c r="AG12"/>
      <c r="AH12"/>
      <c r="AK12"/>
      <c r="AL12"/>
      <c r="AM12"/>
      <c r="AN12"/>
    </row>
    <row r="13" spans="2:40" s="74" customFormat="1" ht="21.75" customHeight="1">
      <c r="B13" s="653" t="s">
        <v>380</v>
      </c>
      <c r="C13" s="208"/>
      <c r="D13" s="311"/>
      <c r="E13" s="325"/>
      <c r="F13" s="311"/>
      <c r="G13" s="325"/>
      <c r="H13" s="445"/>
      <c r="I13" s="312"/>
      <c r="J13" s="609"/>
      <c r="K13" s="308"/>
      <c r="L13" s="654"/>
      <c r="M13" s="308"/>
      <c r="N13" s="313"/>
      <c r="O13" s="313"/>
      <c r="P13" s="638"/>
      <c r="Q13" s="313"/>
      <c r="R13" s="313"/>
      <c r="S13" s="78"/>
      <c r="T13" s="847"/>
      <c r="U13" s="78"/>
      <c r="V13"/>
      <c r="W13"/>
      <c r="X13"/>
      <c r="Y13" s="2"/>
      <c r="Z13"/>
      <c r="AA13"/>
      <c r="AC13"/>
      <c r="AD13"/>
      <c r="AE13"/>
      <c r="AF13"/>
      <c r="AG13"/>
      <c r="AH13"/>
      <c r="AK13"/>
      <c r="AL13"/>
      <c r="AM13"/>
      <c r="AN13"/>
    </row>
    <row r="14" spans="2:40" s="74" customFormat="1" ht="6.75" customHeight="1">
      <c r="B14" s="261"/>
      <c r="C14" s="208"/>
      <c r="D14" s="209"/>
      <c r="E14" s="73"/>
      <c r="F14" s="209"/>
      <c r="G14" s="73"/>
      <c r="H14" s="447"/>
      <c r="I14" s="209"/>
      <c r="J14" s="210"/>
      <c r="K14" s="210"/>
      <c r="L14" s="423"/>
      <c r="M14" s="210"/>
      <c r="N14" s="211"/>
      <c r="O14" s="211"/>
      <c r="P14" s="213"/>
      <c r="Q14" s="213"/>
      <c r="R14" s="211"/>
      <c r="S14" s="78"/>
      <c r="T14" s="211"/>
      <c r="U14" s="78"/>
      <c r="V14"/>
      <c r="W14"/>
      <c r="X14"/>
      <c r="Y14" s="2"/>
      <c r="Z14"/>
      <c r="AA14"/>
      <c r="AC14"/>
      <c r="AD14"/>
      <c r="AE14"/>
      <c r="AF14"/>
      <c r="AG14"/>
      <c r="AH14"/>
      <c r="AK14"/>
      <c r="AL14"/>
      <c r="AM14"/>
      <c r="AN14"/>
    </row>
    <row r="15" spans="2:40" s="74" customFormat="1" ht="21.75" customHeight="1">
      <c r="B15" s="653"/>
      <c r="C15" s="208"/>
      <c r="D15" s="311"/>
      <c r="E15" s="325"/>
      <c r="F15" s="311"/>
      <c r="G15" s="325"/>
      <c r="H15" s="445"/>
      <c r="I15" s="312"/>
      <c r="J15" s="609"/>
      <c r="K15" s="308"/>
      <c r="L15" s="654"/>
      <c r="M15" s="308"/>
      <c r="N15" s="313"/>
      <c r="O15" s="313"/>
      <c r="P15" s="638"/>
      <c r="Q15" s="313"/>
      <c r="R15" s="313"/>
      <c r="S15" s="78"/>
      <c r="T15" s="847"/>
      <c r="U15" s="78"/>
      <c r="V15"/>
      <c r="W15"/>
      <c r="X15"/>
      <c r="Y15" s="2"/>
      <c r="Z15"/>
      <c r="AA15"/>
      <c r="AC15"/>
      <c r="AD15"/>
      <c r="AE15"/>
      <c r="AF15"/>
      <c r="AG15"/>
      <c r="AH15"/>
      <c r="AK15"/>
      <c r="AL15"/>
      <c r="AM15"/>
      <c r="AN15"/>
    </row>
    <row r="16" spans="2:40" s="74" customFormat="1" ht="6.75" customHeight="1">
      <c r="B16" s="261"/>
      <c r="C16" s="208"/>
      <c r="D16" s="209"/>
      <c r="E16" s="73"/>
      <c r="F16" s="209"/>
      <c r="G16" s="73"/>
      <c r="H16" s="274"/>
      <c r="I16" s="209"/>
      <c r="J16" s="210"/>
      <c r="K16" s="210"/>
      <c r="L16" s="211"/>
      <c r="M16" s="210"/>
      <c r="N16" s="211"/>
      <c r="O16" s="211"/>
      <c r="P16" s="213"/>
      <c r="Q16" s="213"/>
      <c r="R16" s="213"/>
      <c r="S16" s="78"/>
      <c r="T16" s="78"/>
      <c r="U16" s="78"/>
      <c r="V16"/>
      <c r="W16"/>
      <c r="X16"/>
      <c r="Y16" s="2"/>
      <c r="Z16"/>
      <c r="AA16"/>
      <c r="AC16"/>
      <c r="AD16"/>
      <c r="AE16"/>
      <c r="AF16"/>
      <c r="AG16"/>
      <c r="AH16"/>
      <c r="AK16"/>
      <c r="AL16"/>
      <c r="AM16"/>
      <c r="AN16"/>
    </row>
    <row r="17" spans="2:40" s="74" customFormat="1" ht="18.75" customHeight="1">
      <c r="B17" s="261" t="s">
        <v>107</v>
      </c>
      <c r="C17" s="208"/>
      <c r="D17" s="322">
        <f>D7+D9+D11+D13+D15</f>
        <v>0</v>
      </c>
      <c r="E17" s="323"/>
      <c r="F17" s="321">
        <f>Data!H15</f>
        <v>0</v>
      </c>
      <c r="G17" s="323"/>
      <c r="H17" s="448"/>
      <c r="I17" s="249"/>
      <c r="J17" s="352"/>
      <c r="K17" s="250"/>
      <c r="L17" s="422">
        <f>Data!I15</f>
        <v>0</v>
      </c>
      <c r="M17" s="250"/>
      <c r="N17" s="352"/>
      <c r="O17" s="251"/>
      <c r="P17" s="413">
        <f>Data!N15</f>
        <v>0</v>
      </c>
      <c r="Q17" s="324"/>
      <c r="R17" s="427"/>
      <c r="S17" s="78"/>
      <c r="T17" s="834">
        <f>T7+T9+T11+T13+T15</f>
        <v>0</v>
      </c>
      <c r="U17" s="78"/>
      <c r="V17"/>
      <c r="W17"/>
      <c r="X17"/>
      <c r="Y17" s="2"/>
      <c r="Z17"/>
      <c r="AA17"/>
      <c r="AC17"/>
      <c r="AD17"/>
      <c r="AE17"/>
      <c r="AF17"/>
      <c r="AG17"/>
      <c r="AH17"/>
      <c r="AK17"/>
      <c r="AL17"/>
      <c r="AM17"/>
      <c r="AN17"/>
    </row>
    <row r="18" spans="2:40" s="375" customFormat="1" ht="17.25" customHeight="1">
      <c r="B18" s="390"/>
      <c r="C18" s="395"/>
      <c r="D18" s="271" t="s">
        <v>237</v>
      </c>
      <c r="E18" s="313"/>
      <c r="F18" s="271" t="s">
        <v>240</v>
      </c>
      <c r="G18" s="78"/>
      <c r="H18" s="271"/>
      <c r="I18" s="310"/>
      <c r="J18" s="271"/>
      <c r="K18" s="313"/>
      <c r="L18" s="271" t="s">
        <v>11</v>
      </c>
      <c r="M18" s="313"/>
      <c r="N18" s="313"/>
      <c r="O18" s="78"/>
      <c r="P18" s="271" t="s">
        <v>240</v>
      </c>
      <c r="Q18" s="78"/>
      <c r="R18" s="271"/>
      <c r="S18" s="78"/>
      <c r="T18" s="271" t="s">
        <v>11</v>
      </c>
      <c r="U18" s="78"/>
      <c r="V18" s="389"/>
      <c r="W18" s="389"/>
      <c r="X18" s="389"/>
      <c r="Y18" s="402"/>
      <c r="Z18" s="389"/>
      <c r="AA18" s="389"/>
      <c r="AC18" s="389"/>
      <c r="AD18" s="389"/>
      <c r="AE18" s="389"/>
      <c r="AF18" s="389"/>
      <c r="AG18" s="389"/>
      <c r="AH18" s="389"/>
      <c r="AK18" s="389"/>
      <c r="AL18" s="389"/>
      <c r="AM18" s="389"/>
      <c r="AN18" s="389"/>
    </row>
    <row r="19" spans="2:40" s="465" customFormat="1">
      <c r="B19" s="467"/>
      <c r="C19" s="468"/>
      <c r="D19" s="469"/>
      <c r="E19" s="469"/>
      <c r="F19" s="468"/>
      <c r="G19" s="468"/>
      <c r="H19" s="468"/>
      <c r="I19" s="470"/>
      <c r="J19" s="468"/>
      <c r="K19" s="468"/>
      <c r="L19" s="468"/>
    </row>
    <row r="20" spans="2:40" s="465" customFormat="1" ht="21" customHeight="1">
      <c r="B20" s="471"/>
      <c r="C20" s="468"/>
      <c r="D20" s="472"/>
      <c r="E20" s="473"/>
      <c r="F20" s="474"/>
      <c r="G20" s="475"/>
      <c r="H20" s="475"/>
      <c r="I20" s="476"/>
      <c r="J20" s="476"/>
      <c r="K20" s="474"/>
      <c r="L20" s="477"/>
    </row>
    <row r="31" spans="2:40" s="465" customFormat="1" ht="13">
      <c r="B31" s="482"/>
      <c r="C31" s="469"/>
      <c r="D31" s="472"/>
      <c r="E31" s="483"/>
      <c r="F31" s="483"/>
      <c r="G31" s="484"/>
      <c r="H31" s="482"/>
      <c r="I31" s="480"/>
      <c r="J31" s="480"/>
    </row>
    <row r="32" spans="2:40" s="465" customFormat="1" ht="13">
      <c r="B32" s="482"/>
      <c r="C32" s="469"/>
      <c r="D32" s="472"/>
      <c r="E32" s="483"/>
      <c r="F32" s="483"/>
      <c r="G32" s="484"/>
      <c r="H32" s="482"/>
      <c r="I32" s="480"/>
      <c r="J32" s="480"/>
    </row>
    <row r="33" spans="2:10" s="465" customFormat="1" ht="13">
      <c r="B33" s="482"/>
      <c r="C33" s="469"/>
      <c r="D33" s="472"/>
      <c r="E33" s="483"/>
      <c r="F33" s="483"/>
      <c r="G33" s="484"/>
      <c r="H33" s="482"/>
      <c r="I33" s="480"/>
      <c r="J33" s="480"/>
    </row>
    <row r="34" spans="2:10" s="465" customFormat="1" ht="13">
      <c r="B34" s="482"/>
      <c r="C34" s="469"/>
      <c r="D34" s="472"/>
      <c r="E34" s="483"/>
      <c r="F34" s="483"/>
      <c r="G34" s="484"/>
      <c r="H34" s="482"/>
      <c r="I34" s="480"/>
      <c r="J34" s="480"/>
    </row>
    <row r="35" spans="2:10" s="465" customFormat="1" ht="13">
      <c r="B35" s="482"/>
      <c r="C35" s="469"/>
      <c r="D35" s="472"/>
      <c r="E35" s="483"/>
      <c r="F35" s="483"/>
      <c r="G35" s="484"/>
      <c r="H35" s="482"/>
      <c r="I35" s="480"/>
      <c r="J35" s="480"/>
    </row>
    <row r="36" spans="2:10" s="465" customFormat="1" ht="13">
      <c r="B36" s="482"/>
      <c r="C36" s="469"/>
      <c r="D36" s="472"/>
      <c r="E36" s="483"/>
      <c r="F36" s="483"/>
      <c r="G36" s="484"/>
      <c r="H36" s="482"/>
      <c r="I36" s="480"/>
      <c r="J36" s="480"/>
    </row>
    <row r="37" spans="2:10" s="465" customFormat="1" ht="13">
      <c r="B37" s="482"/>
      <c r="C37" s="469"/>
      <c r="D37" s="472"/>
      <c r="E37" s="483"/>
      <c r="F37" s="483"/>
      <c r="G37" s="484"/>
      <c r="H37" s="482"/>
      <c r="I37" s="480"/>
      <c r="J37" s="480"/>
    </row>
    <row r="38" spans="2:10" s="465" customFormat="1" ht="13">
      <c r="B38" s="482"/>
      <c r="C38" s="469"/>
      <c r="D38" s="472"/>
      <c r="E38" s="483"/>
      <c r="F38" s="483"/>
      <c r="G38" s="484"/>
      <c r="H38" s="482"/>
      <c r="I38" s="480"/>
      <c r="J38" s="480"/>
    </row>
    <row r="39" spans="2:10" s="465" customFormat="1" ht="13">
      <c r="B39" s="482"/>
      <c r="C39" s="469"/>
      <c r="D39" s="472"/>
      <c r="E39" s="483"/>
      <c r="F39" s="483"/>
      <c r="G39" s="484"/>
      <c r="H39" s="482"/>
      <c r="I39" s="480"/>
      <c r="J39" s="480"/>
    </row>
    <row r="40" spans="2:10" s="465" customFormat="1" ht="13">
      <c r="B40" s="482"/>
      <c r="C40" s="469"/>
      <c r="D40" s="472"/>
      <c r="E40" s="483"/>
      <c r="F40" s="483"/>
      <c r="G40" s="484"/>
      <c r="H40" s="482"/>
      <c r="I40" s="480"/>
      <c r="J40" s="480"/>
    </row>
    <row r="41" spans="2:10" s="465" customFormat="1" ht="13">
      <c r="B41" s="482"/>
      <c r="C41" s="469"/>
      <c r="D41" s="472"/>
      <c r="E41" s="483"/>
      <c r="F41" s="483"/>
      <c r="G41" s="484"/>
      <c r="H41" s="482"/>
      <c r="I41" s="480"/>
      <c r="J41" s="480"/>
    </row>
    <row r="42" spans="2:10" s="465" customFormat="1" ht="13">
      <c r="B42" s="482"/>
      <c r="C42" s="469"/>
      <c r="D42" s="472"/>
      <c r="E42" s="483"/>
      <c r="F42" s="483"/>
      <c r="G42" s="484"/>
      <c r="H42" s="482"/>
      <c r="I42" s="480"/>
      <c r="J42" s="480"/>
    </row>
    <row r="43" spans="2:10" s="465" customFormat="1" ht="13">
      <c r="B43" s="482"/>
      <c r="C43" s="469"/>
      <c r="D43" s="472"/>
      <c r="E43" s="483"/>
      <c r="F43" s="483"/>
      <c r="G43" s="484"/>
      <c r="H43" s="482"/>
      <c r="I43" s="480"/>
      <c r="J43" s="480"/>
    </row>
    <row r="44" spans="2:10" s="465" customFormat="1" ht="13">
      <c r="B44" s="482"/>
      <c r="C44" s="469"/>
      <c r="D44" s="472"/>
      <c r="E44" s="483"/>
      <c r="F44" s="483"/>
      <c r="G44" s="484"/>
      <c r="H44" s="482"/>
      <c r="I44" s="480"/>
      <c r="J44" s="480"/>
    </row>
    <row r="45" spans="2:10" s="465" customFormat="1" ht="13">
      <c r="B45" s="482"/>
      <c r="C45" s="469"/>
      <c r="D45" s="472"/>
      <c r="E45" s="483"/>
      <c r="F45" s="483"/>
      <c r="G45" s="484"/>
      <c r="H45" s="482"/>
      <c r="I45" s="480"/>
      <c r="J45" s="480"/>
    </row>
    <row r="46" spans="2:10" s="465" customFormat="1" ht="13">
      <c r="B46" s="482"/>
      <c r="C46" s="469"/>
      <c r="D46" s="472"/>
      <c r="E46" s="483"/>
      <c r="F46" s="483"/>
      <c r="G46" s="484"/>
      <c r="H46" s="482"/>
      <c r="I46" s="480"/>
      <c r="J46" s="480"/>
    </row>
    <row r="47" spans="2:10" s="465" customFormat="1" ht="13">
      <c r="B47" s="482"/>
      <c r="C47" s="469"/>
      <c r="D47" s="472"/>
      <c r="E47" s="483"/>
      <c r="F47" s="483"/>
      <c r="G47" s="484"/>
      <c r="H47" s="482"/>
      <c r="I47" s="480"/>
      <c r="J47" s="480"/>
    </row>
    <row r="48" spans="2:10" s="465" customFormat="1" ht="13">
      <c r="B48" s="482"/>
      <c r="C48" s="469"/>
      <c r="D48" s="472"/>
      <c r="E48" s="483"/>
      <c r="F48" s="483"/>
      <c r="G48" s="484"/>
      <c r="H48" s="482"/>
      <c r="I48" s="480"/>
      <c r="J48" s="480"/>
    </row>
    <row r="49" spans="2:10" s="465" customFormat="1" ht="13">
      <c r="B49" s="482"/>
      <c r="C49" s="469"/>
      <c r="D49" s="472"/>
      <c r="E49" s="483"/>
      <c r="F49" s="483"/>
      <c r="G49" s="484"/>
      <c r="H49" s="482"/>
      <c r="I49" s="480"/>
      <c r="J49" s="480"/>
    </row>
    <row r="50" spans="2:10" s="465" customFormat="1" ht="13">
      <c r="B50" s="481"/>
      <c r="C50" s="469"/>
      <c r="D50" s="478"/>
      <c r="E50" s="478"/>
      <c r="F50" s="478"/>
      <c r="G50" s="478"/>
      <c r="H50" s="482"/>
      <c r="I50" s="480"/>
      <c r="J50" s="480"/>
    </row>
    <row r="51" spans="2:10" s="465" customFormat="1" ht="13">
      <c r="B51" s="38"/>
      <c r="C51" s="468"/>
      <c r="D51" s="473"/>
      <c r="E51" s="38"/>
      <c r="F51" s="38"/>
      <c r="G51" s="482"/>
      <c r="H51" s="482"/>
      <c r="I51" s="480"/>
      <c r="J51" s="480"/>
    </row>
    <row r="52" spans="2:10" s="465" customFormat="1" ht="13">
      <c r="B52" s="481"/>
      <c r="C52" s="469"/>
      <c r="D52" s="478"/>
      <c r="E52" s="469"/>
      <c r="F52" s="469"/>
      <c r="G52" s="469"/>
      <c r="H52" s="482"/>
      <c r="I52" s="480"/>
      <c r="J52" s="480"/>
    </row>
    <row r="53" spans="2:10" s="465" customFormat="1" ht="13">
      <c r="B53" s="481"/>
      <c r="C53" s="469"/>
      <c r="D53" s="478"/>
      <c r="E53" s="479"/>
      <c r="F53" s="479"/>
      <c r="G53" s="479"/>
      <c r="H53" s="482"/>
      <c r="I53" s="480"/>
      <c r="J53" s="480"/>
    </row>
    <row r="54" spans="2:10" s="465" customFormat="1" ht="13">
      <c r="B54" s="485"/>
      <c r="C54" s="468"/>
      <c r="D54" s="478"/>
      <c r="E54" s="486"/>
      <c r="F54" s="479"/>
      <c r="G54" s="479"/>
      <c r="H54" s="482"/>
      <c r="I54" s="480"/>
      <c r="J54" s="480"/>
    </row>
    <row r="55" spans="2:10" s="465" customFormat="1" ht="13">
      <c r="B55" s="485"/>
      <c r="C55" s="468"/>
      <c r="D55" s="478"/>
      <c r="E55" s="479"/>
      <c r="F55" s="479"/>
      <c r="G55" s="479"/>
      <c r="H55" s="482"/>
      <c r="I55" s="480"/>
      <c r="J55" s="480"/>
    </row>
    <row r="56" spans="2:10" s="465" customFormat="1">
      <c r="D56" s="487"/>
    </row>
    <row r="57" spans="2:10" s="465" customFormat="1">
      <c r="B57" s="488"/>
      <c r="D57" s="487"/>
    </row>
  </sheetData>
  <sheetCalcPr fullCalcOnLoad="1"/>
  <sheetProtection sheet="1" objects="1" scenarios="1"/>
  <mergeCells count="8">
    <mergeCell ref="N5:N6"/>
    <mergeCell ref="P5:P6"/>
    <mergeCell ref="R5:R6"/>
    <mergeCell ref="T5:T6"/>
    <mergeCell ref="B3:E3"/>
    <mergeCell ref="G3:J3"/>
    <mergeCell ref="J5:J6"/>
    <mergeCell ref="L5:L6"/>
  </mergeCells>
  <phoneticPr fontId="116" type="noConversion"/>
  <pageMargins left="0.75" right="0.75" top="1" bottom="1" header="0.5" footer="0.5"/>
  <headerFooter alignWithMargins="0">
    <oddFooter>&amp;L&amp;A&amp;C&amp;D&amp;R&amp;P of &amp;N</oddFooter>
  </headerFooter>
  <drawing r:id="rId1"/>
  <legacy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P75"/>
  <sheetViews>
    <sheetView topLeftCell="C1" workbookViewId="0">
      <selection activeCell="G14" sqref="G14"/>
    </sheetView>
  </sheetViews>
  <sheetFormatPr baseColWidth="10" defaultColWidth="8.83203125" defaultRowHeight="14"/>
  <cols>
    <col min="1" max="1" width="17" customWidth="1"/>
    <col min="2" max="2" width="9.6640625" bestFit="1" customWidth="1"/>
    <col min="3" max="3" width="13.5" customWidth="1"/>
    <col min="4" max="4" width="12" customWidth="1"/>
    <col min="5" max="5" width="11.5" customWidth="1"/>
    <col min="6" max="6" width="14" customWidth="1"/>
    <col min="7" max="7" width="8.83203125" style="2"/>
    <col min="8" max="8" width="11.5" bestFit="1" customWidth="1"/>
    <col min="9" max="9" width="11.5" customWidth="1"/>
    <col min="10" max="10" width="17.83203125" customWidth="1"/>
  </cols>
  <sheetData>
    <row r="1" spans="1:16" ht="23">
      <c r="A1" s="407" t="s">
        <v>336</v>
      </c>
    </row>
    <row r="2" spans="1:16" ht="28">
      <c r="A2" s="406" t="s">
        <v>337</v>
      </c>
      <c r="B2" s="409" t="s">
        <v>348</v>
      </c>
      <c r="C2" s="406" t="s">
        <v>349</v>
      </c>
      <c r="D2" s="458" t="s">
        <v>337</v>
      </c>
      <c r="E2" s="459" t="s">
        <v>335</v>
      </c>
      <c r="F2" s="460" t="s">
        <v>363</v>
      </c>
      <c r="G2" s="460" t="s">
        <v>364</v>
      </c>
      <c r="H2" s="460" t="s">
        <v>366</v>
      </c>
      <c r="I2" s="460" t="s">
        <v>367</v>
      </c>
    </row>
    <row r="3" spans="1:16">
      <c r="A3" s="405" t="s">
        <v>291</v>
      </c>
      <c r="B3" s="408">
        <f t="shared" ref="B3:B18" si="0">2205/C3</f>
        <v>48.007838014369696</v>
      </c>
      <c r="C3" s="405">
        <v>45.93</v>
      </c>
      <c r="D3" s="458">
        <v>1</v>
      </c>
      <c r="E3" s="461" t="s">
        <v>356</v>
      </c>
      <c r="F3" s="458">
        <v>1</v>
      </c>
      <c r="G3" s="462">
        <v>2</v>
      </c>
      <c r="H3" s="463">
        <f>IF(F3=2,'8. Grain_InputForm'!J10*'8. Grain_InputForm'!L10,IF(F3=3,'8. Grain_InputForm'!J10*2205*'8. Grain_InputForm'!L10,'8. Grain_InputForm'!J10*LOOKUP('8. Grain_InputForm'!B10,$A$3:$A$18,$C$3:$C$18)*'8. Grain_InputForm'!L10))</f>
        <v>0</v>
      </c>
      <c r="I3" s="458">
        <f>IF(G3=2,'8. Grain_InputForm'!P10*'8. Grain_InputForm'!R10,IF(Data!G3=3,'8. Grain_InputForm'!P10*2205*'8. Grain_InputForm'!R10,'8. Grain_InputForm'!P10*LOOKUP('8. Grain_InputForm'!B10,Data!$A$3:$A$18,Data!$C$3:$C$18)*'8. Grain_InputForm'!R10))</f>
        <v>0</v>
      </c>
    </row>
    <row r="4" spans="1:16">
      <c r="A4" s="405" t="s">
        <v>352</v>
      </c>
      <c r="B4" s="408">
        <f t="shared" si="0"/>
        <v>60.00979751796212</v>
      </c>
      <c r="C4" s="405">
        <v>36.744</v>
      </c>
      <c r="D4" s="458">
        <v>2</v>
      </c>
      <c r="E4" s="458" t="s">
        <v>357</v>
      </c>
      <c r="F4" s="458">
        <v>1</v>
      </c>
      <c r="G4" s="462">
        <v>1</v>
      </c>
      <c r="H4" s="463">
        <f>IF(F4=2,'8. Grain_InputForm'!J12*'8. Grain_InputForm'!L12,IF(F4=3,'8. Grain_InputForm'!J12*2205*'8. Grain_InputForm'!L12,'8. Grain_InputForm'!J12*LOOKUP('8. Grain_InputForm'!B12,$A$3:$A$18,$C$3:$C$18)*'8. Grain_InputForm'!L12))</f>
        <v>0</v>
      </c>
      <c r="I4" s="458">
        <f>IF(G4=2,'8. Grain_InputForm'!P12*'8. Grain_InputForm'!R12,IF(Data!G4=3,'8. Grain_InputForm'!P12*2205*'8. Grain_InputForm'!R12,'8. Grain_InputForm'!P12*LOOKUP('8. Grain_InputForm'!B12,Data!$A$3:$A$18,Data!$C$3:$C$18)*'8. Grain_InputForm'!R12))</f>
        <v>0</v>
      </c>
    </row>
    <row r="5" spans="1:16">
      <c r="A5" s="405" t="s">
        <v>344</v>
      </c>
      <c r="B5" s="408">
        <f t="shared" si="0"/>
        <v>48.007838014369696</v>
      </c>
      <c r="C5" s="405">
        <v>45.93</v>
      </c>
      <c r="D5" s="458">
        <v>3</v>
      </c>
      <c r="E5" s="458" t="s">
        <v>365</v>
      </c>
      <c r="F5" s="458">
        <v>1</v>
      </c>
      <c r="G5" s="462">
        <v>1</v>
      </c>
      <c r="H5" s="463">
        <f>IF(F5=2,'8. Grain_InputForm'!J14*'8. Grain_InputForm'!L14,IF(F5=3,'8. Grain_InputForm'!J14*2205*'8. Grain_InputForm'!L14,'8. Grain_InputForm'!J14*LOOKUP('8. Grain_InputForm'!B14,$A$3:$A$18,$C$3:$C$18)*'8. Grain_InputForm'!L14))</f>
        <v>0</v>
      </c>
      <c r="I5" s="458">
        <f>IF(G5=2,'8. Grain_InputForm'!P14*'8. Grain_InputForm'!R14,IF(Data!G5=3,'8. Grain_InputForm'!P14*2205*'8. Grain_InputForm'!R14,'8. Grain_InputForm'!P14*LOOKUP('8. Grain_InputForm'!B14,Data!$A$3:$A$18,Data!$C$3:$C$18)*'8. Grain_InputForm'!R14))</f>
        <v>0</v>
      </c>
    </row>
    <row r="6" spans="1:16">
      <c r="A6" s="405" t="s">
        <v>346</v>
      </c>
      <c r="B6" s="408">
        <f t="shared" si="0"/>
        <v>50.00907194048807</v>
      </c>
      <c r="C6" s="405">
        <v>44.091999999999999</v>
      </c>
      <c r="D6" s="458"/>
      <c r="E6" s="458"/>
      <c r="F6" s="458">
        <v>1</v>
      </c>
      <c r="G6" s="462">
        <v>1</v>
      </c>
      <c r="H6" s="463">
        <f>IF(F6=2,'8. Grain_InputForm'!J16*'8. Grain_InputForm'!L16,IF(F6=3,'8. Grain_InputForm'!J16*2205*'8. Grain_InputForm'!L16,'8. Grain_InputForm'!J16*LOOKUP('8. Grain_InputForm'!B16,$A$3:$A$18,$C$3:$C$18)*'8. Grain_InputForm'!L16))</f>
        <v>0</v>
      </c>
      <c r="I6" s="458">
        <f>IF(G6=2,'8. Grain_InputForm'!P16*'8. Grain_InputForm'!R16,IF(Data!G6=3,'8. Grain_InputForm'!P16*2205*'8. Grain_InputForm'!R16,'8. Grain_InputForm'!P16*LOOKUP('8. Grain_InputForm'!B16,Data!$A$3:$A$18,Data!$C$3:$C$18)*'8. Grain_InputForm'!R16))</f>
        <v>0</v>
      </c>
    </row>
    <row r="7" spans="1:16">
      <c r="A7" s="405" t="s">
        <v>333</v>
      </c>
      <c r="B7" s="408">
        <f t="shared" si="0"/>
        <v>50.00907194048807</v>
      </c>
      <c r="C7" s="405">
        <v>44.091999999999999</v>
      </c>
      <c r="D7" s="458"/>
      <c r="E7" s="458"/>
      <c r="F7" s="458">
        <v>1</v>
      </c>
      <c r="G7" s="462">
        <v>1</v>
      </c>
      <c r="H7" s="463">
        <f>IF(F7=2,'8. Grain_InputForm'!J18*'8. Grain_InputForm'!L18,IF(F7=3,'8. Grain_InputForm'!J18*2205*'8. Grain_InputForm'!L18,'8. Grain_InputForm'!J18*LOOKUP('8. Grain_InputForm'!B18,$A$3:$A$18,$C$3:$C$18)*'8. Grain_InputForm'!L18))</f>
        <v>0</v>
      </c>
      <c r="I7" s="458">
        <f>IF(G7=2,'8. Grain_InputForm'!P18*'8. Grain_InputForm'!R18,IF(Data!G7=3,'8. Grain_InputForm'!P18*2205*'8. Grain_InputForm'!R18,'8. Grain_InputForm'!P18*LOOKUP('8. Grain_InputForm'!B18,Data!$A$3:$A$18,Data!$C$3:$C$18)*'8. Grain_InputForm'!R18))</f>
        <v>0</v>
      </c>
    </row>
    <row r="8" spans="1:16">
      <c r="A8" s="405" t="s">
        <v>341</v>
      </c>
      <c r="B8" s="408">
        <f t="shared" si="0"/>
        <v>56.009957325746797</v>
      </c>
      <c r="C8" s="405">
        <v>39.368000000000002</v>
      </c>
      <c r="D8" s="458"/>
      <c r="E8" s="458"/>
      <c r="F8" s="458"/>
      <c r="G8" s="462"/>
      <c r="H8" s="464">
        <f>SUM(H3:H7)</f>
        <v>0</v>
      </c>
      <c r="I8" s="458">
        <f>SUM(I3:I7)</f>
        <v>0</v>
      </c>
    </row>
    <row r="9" spans="1:16" ht="42">
      <c r="A9" s="405" t="s">
        <v>350</v>
      </c>
      <c r="B9" s="408">
        <f t="shared" si="0"/>
        <v>60.00979751796212</v>
      </c>
      <c r="C9" s="405">
        <v>36.744</v>
      </c>
      <c r="D9" s="450" t="s">
        <v>388</v>
      </c>
      <c r="E9" s="451" t="s">
        <v>379</v>
      </c>
      <c r="F9" s="452" t="s">
        <v>384</v>
      </c>
      <c r="G9" s="452" t="s">
        <v>383</v>
      </c>
      <c r="H9" s="453" t="s">
        <v>385</v>
      </c>
      <c r="I9" s="454" t="s">
        <v>386</v>
      </c>
      <c r="J9" s="451" t="s">
        <v>387</v>
      </c>
      <c r="K9" s="416" t="s">
        <v>80</v>
      </c>
      <c r="L9" s="825" t="s">
        <v>599</v>
      </c>
      <c r="M9" s="825"/>
      <c r="N9" s="825" t="s">
        <v>610</v>
      </c>
      <c r="O9" s="825" t="s">
        <v>611</v>
      </c>
      <c r="P9" s="825" t="s">
        <v>612</v>
      </c>
    </row>
    <row r="10" spans="1:16">
      <c r="A10" s="405" t="s">
        <v>340</v>
      </c>
      <c r="B10" s="408">
        <f t="shared" si="0"/>
        <v>56.009957325746797</v>
      </c>
      <c r="C10" s="405">
        <v>39.368000000000002</v>
      </c>
      <c r="D10" s="450">
        <v>1</v>
      </c>
      <c r="E10" s="450" t="s">
        <v>377</v>
      </c>
      <c r="F10" s="450">
        <v>1</v>
      </c>
      <c r="G10" s="455">
        <v>2</v>
      </c>
      <c r="H10" s="456">
        <f>IF(F10=2,'7. Forage_InputForm'!F7,IF(Data!F10=1,'7. Forage_InputForm'!J7/2205*'7. Forage_InputForm'!F7))</f>
        <v>0</v>
      </c>
      <c r="I10" s="455">
        <f>IF($G$10=1,'7. Forage_InputForm'!$L$7/'7. Forage_InputForm'!$J$7*Data!H10*2205,IF($G$10=2,'7. Forage_InputForm'!$L$7*Data!H10,IF($G$10=3,'7. Forage_InputForm'!$L$7*2205*Data!H10,'7. Forage_InputForm'!$L$7/2000*2205*Data!H10)))</f>
        <v>0</v>
      </c>
      <c r="J10" s="450" t="str">
        <f>'7. Forage_InputForm'!B7</f>
        <v>Alfalfa</v>
      </c>
      <c r="K10" s="2">
        <f>IF(F10=1,'7. Forage_InputForm'!F7,0)</f>
        <v>0</v>
      </c>
      <c r="L10" s="588">
        <v>1</v>
      </c>
      <c r="M10" s="588"/>
      <c r="N10" s="588">
        <f>IF(L10=1,'7. Forage_InputForm'!P7*'7. Forage_InputForm'!J7/2205, '7. Forage_InputForm'!P7)</f>
        <v>0</v>
      </c>
      <c r="O10" s="835">
        <f>H10-N10</f>
        <v>0</v>
      </c>
      <c r="P10" s="455">
        <f>IF($G$10=1,'7. Forage_InputForm'!$L$7/'7. Forage_InputForm'!$J$7*Data!O10*2205,IF($G$10=2,'7. Forage_InputForm'!$L$7*Data!O10,IF($G$10=3,'7. Forage_InputForm'!$L$7*2205*Data!O10,'7. Forage_InputForm'!$L$7/2000*2205*Data!O10)))</f>
        <v>0</v>
      </c>
    </row>
    <row r="11" spans="1:16">
      <c r="A11" s="405" t="s">
        <v>345</v>
      </c>
      <c r="B11" s="408">
        <f t="shared" si="0"/>
        <v>50.00907194048807</v>
      </c>
      <c r="C11" s="405">
        <v>44.091999999999999</v>
      </c>
      <c r="D11" s="450">
        <v>2</v>
      </c>
      <c r="E11" s="450" t="s">
        <v>240</v>
      </c>
      <c r="F11" s="450">
        <v>1</v>
      </c>
      <c r="G11" s="455">
        <v>2</v>
      </c>
      <c r="H11" s="456">
        <f>IF(F11=2,'7. Forage_InputForm'!F9,'7. Forage_InputForm'!J9/2205*'7. Forage_InputForm'!F9)</f>
        <v>0</v>
      </c>
      <c r="I11" s="455">
        <f>IF(G11=1,'7. Forage_InputForm'!L9/'7. Forage_InputForm'!J9*Data!H11*2205,IF(G11=2,'7. Forage_InputForm'!L9*Data!H11,IF(G11=3,'7. Forage_InputForm'!L9*2205*Data!H11,'7. Forage_InputForm'!L9/2000*2205*Data!H11)))</f>
        <v>0</v>
      </c>
      <c r="J11" s="450" t="str">
        <f>'7. Forage_InputForm'!B9</f>
        <v>Brome-Alfalfa</v>
      </c>
      <c r="K11" s="2">
        <f>IF(F11=1,'7. Forage_InputForm'!F9,0)</f>
        <v>0</v>
      </c>
      <c r="L11" s="588">
        <v>1</v>
      </c>
      <c r="M11" s="588"/>
      <c r="N11" s="826">
        <f>IF(L11=2,'7. Forage_InputForm'!P9,'7. Forage_InputForm'!P9*'7. Forage_InputForm'!J9/2205)</f>
        <v>0</v>
      </c>
      <c r="O11" s="835">
        <f>H11-N11</f>
        <v>0</v>
      </c>
      <c r="P11">
        <f>IF(G11=1,'7. Forage_InputForm'!L9/'7. Forage_InputForm'!J9*2205*Data!O11,IF(Data!G11=2,'7. Forage_InputForm'!L9*Data!O11,IF(G11=3,'7. Forage_InputForm'!L9*2205*Data!O11,'7. Forage_InputForm'!L9/2000*2205*Data!O11)))</f>
        <v>0</v>
      </c>
    </row>
    <row r="12" spans="1:16">
      <c r="A12" s="405" t="s">
        <v>338</v>
      </c>
      <c r="B12" s="408">
        <f t="shared" si="0"/>
        <v>34.005737022300359</v>
      </c>
      <c r="C12" s="405">
        <v>64.841999999999999</v>
      </c>
      <c r="D12" s="450"/>
      <c r="E12" s="457" t="s">
        <v>381</v>
      </c>
      <c r="F12" s="450">
        <v>1</v>
      </c>
      <c r="G12" s="455">
        <v>2</v>
      </c>
      <c r="H12" s="456">
        <f>IF(F12=2,'7. Forage_InputForm'!F11,'7. Forage_InputForm'!J11/2205*'7. Forage_InputForm'!F11)</f>
        <v>0</v>
      </c>
      <c r="I12" s="455">
        <f>IF(G12=1,'7. Forage_InputForm'!L11/'7. Forage_InputForm'!J11*Data!H12*2205,IF(G12=2,'7. Forage_InputForm'!L11*Data!H12,IF(G12=3,'7. Forage_InputForm'!L11*2205*Data!H12,'7. Forage_InputForm'!L11/2000*2205*Data!H12)))</f>
        <v>0</v>
      </c>
      <c r="J12" s="450" t="str">
        <f>'7. Forage_InputForm'!B11</f>
        <v>Barley Greenfeed</v>
      </c>
      <c r="K12" s="2">
        <f>IF(F12=1,'7. Forage_InputForm'!F11,0)</f>
        <v>0</v>
      </c>
      <c r="L12" s="588">
        <v>1</v>
      </c>
      <c r="M12" s="588"/>
      <c r="N12" s="588">
        <f>IF(L12=2,'7. Forage_InputForm'!P11,'7. Forage_InputForm'!P11*'7. Forage_InputForm'!J11/2205)</f>
        <v>0</v>
      </c>
      <c r="O12" s="835">
        <f>H12-N12</f>
        <v>0</v>
      </c>
      <c r="P12">
        <f>IF(G12=1,'7. Forage_InputForm'!L11/'7. Forage_InputForm'!J11*2205*Data!O12,IF(Data!G12=2,'7. Forage_InputForm'!L11*Data!O12,IF(Data!G12=3,'7. Forage_InputForm'!L11*2205*Data!O12,'7. Forage_InputForm'!L11/2000*2205*Data!O12)))</f>
        <v>0</v>
      </c>
    </row>
    <row r="13" spans="1:16">
      <c r="A13" s="405" t="s">
        <v>343</v>
      </c>
      <c r="B13" s="408">
        <f t="shared" si="0"/>
        <v>60.00979751796212</v>
      </c>
      <c r="C13" s="405">
        <v>36.744</v>
      </c>
      <c r="D13" s="450">
        <v>1</v>
      </c>
      <c r="E13" s="450" t="s">
        <v>382</v>
      </c>
      <c r="F13" s="450">
        <v>1</v>
      </c>
      <c r="G13" s="455">
        <v>2</v>
      </c>
      <c r="H13" s="456">
        <f>IF(F13=2,'7. Forage_InputForm'!F13,'7. Forage_InputForm'!J13/2205*'7. Forage_InputForm'!F13)</f>
        <v>0</v>
      </c>
      <c r="I13" s="455">
        <f>IF(G13=1,'7. Forage_InputForm'!L13/'7. Forage_InputForm'!J13*Data!H13*2205,IF(G13=2,'7. Forage_InputForm'!L13*Data!H13,IF(G13=3,'7. Forage_InputForm'!L13*2205*Data!H13,'7. Forage_InputForm'!L13/2000*2205*Data!H13)))</f>
        <v>0</v>
      </c>
      <c r="J13" s="450" t="str">
        <f>'7. Forage_InputForm'!B13</f>
        <v>Straw</v>
      </c>
      <c r="K13" s="2">
        <f>IF(F13=1,'7. Forage_InputForm'!F13,0)</f>
        <v>0</v>
      </c>
      <c r="L13" s="588">
        <v>1</v>
      </c>
      <c r="M13" s="581"/>
      <c r="N13" s="588">
        <f>IF(L13=2,'7. Forage_InputForm'!P13,'7. Forage_InputForm'!P13*'7. Forage_InputForm'!J13/2205)</f>
        <v>0</v>
      </c>
      <c r="O13" s="835">
        <f>H13-N13</f>
        <v>0</v>
      </c>
      <c r="P13">
        <f>IF(G13=1,'7. Forage_InputForm'!L13/'7. Forage_InputForm'!J13*2205*Data!O13,IF(Data!G13=2,'7. Forage_InputForm'!L13*Data!O13,IF(Data!G13=3,'7. Forage_InputForm'!L13*2205*Data!O13,'7. Forage_InputForm'!L13/2000*2205*Data!O13)))</f>
        <v>0</v>
      </c>
    </row>
    <row r="14" spans="1:16">
      <c r="A14" s="405" t="s">
        <v>339</v>
      </c>
      <c r="B14" s="408">
        <f t="shared" si="0"/>
        <v>56.009957325746797</v>
      </c>
      <c r="C14" s="405">
        <v>39.368000000000002</v>
      </c>
      <c r="D14" s="450">
        <v>2</v>
      </c>
      <c r="E14" s="450" t="s">
        <v>357</v>
      </c>
      <c r="F14" s="450">
        <v>1</v>
      </c>
      <c r="G14" s="455">
        <v>2</v>
      </c>
      <c r="H14" s="456">
        <f>IF(F14=2,'7. Forage_InputForm'!F15,'7. Forage_InputForm'!J15/2205*'7. Forage_InputForm'!F15)</f>
        <v>0</v>
      </c>
      <c r="I14" s="455">
        <f>IF(G14=1,'7. Forage_InputForm'!L15/'7. Forage_InputForm'!J15*Data!H14*2205,IF(G14=2,'7. Forage_InputForm'!L15*Data!H14,IF(G14=3,'7. Forage_InputForm'!L15*2205*Data!H14,'7. Forage_InputForm'!L15/2000*2205*Data!H14)))</f>
        <v>0</v>
      </c>
      <c r="J14" s="450">
        <f>'7. Forage_InputForm'!B15</f>
        <v>0</v>
      </c>
      <c r="K14" s="2">
        <f>IF(F14=1,'7. Forage_InputForm'!F15,0)</f>
        <v>0</v>
      </c>
      <c r="L14" s="588">
        <v>1</v>
      </c>
      <c r="M14" s="581"/>
      <c r="N14" s="588">
        <f>IF(L14=2,'7. Forage_InputForm'!P15,'7. Forage_InputForm'!P15*'7. Forage_InputForm'!J15/2205)</f>
        <v>0</v>
      </c>
      <c r="O14" s="835">
        <f>H14-N14</f>
        <v>0</v>
      </c>
      <c r="P14">
        <f>IF(G14=1,'7. Forage_InputForm'!L15/'7. Forage_InputForm'!J15*2205*Data!O14,IF(Data!G14=2,'7. Forage_InputForm'!L15*Data!O14,IF(Data!G14=3,'7. Forage_InputForm'!L15*2205*Data!O14,'7. Forage_InputForm'!L15/2000*2205*Data!O14)))</f>
        <v>0</v>
      </c>
    </row>
    <row r="15" spans="1:16">
      <c r="A15" s="405" t="s">
        <v>342</v>
      </c>
      <c r="B15" s="408">
        <f t="shared" si="0"/>
        <v>60.00979751796212</v>
      </c>
      <c r="C15" s="405">
        <v>36.744</v>
      </c>
      <c r="D15" s="450">
        <v>3</v>
      </c>
      <c r="E15" s="450" t="s">
        <v>365</v>
      </c>
      <c r="F15" s="450"/>
      <c r="G15" s="455"/>
      <c r="H15" s="466">
        <f>SUM(H10:H14)</f>
        <v>0</v>
      </c>
      <c r="I15" s="454">
        <f>SUM(I10:I14)</f>
        <v>0</v>
      </c>
      <c r="J15" s="450"/>
      <c r="K15" s="534">
        <f>SUM(K10:K14)</f>
        <v>0</v>
      </c>
      <c r="L15" s="588"/>
      <c r="M15" s="581"/>
      <c r="N15" s="827">
        <f>SUM(N10:N14)</f>
        <v>0</v>
      </c>
      <c r="O15" s="836">
        <f>SUM(O10:O14)</f>
        <v>0</v>
      </c>
      <c r="P15" s="837">
        <f>SUM(P10:P14)</f>
        <v>0</v>
      </c>
    </row>
    <row r="16" spans="1:16">
      <c r="A16" s="405" t="s">
        <v>347</v>
      </c>
      <c r="B16" s="408">
        <f t="shared" si="0"/>
        <v>30.005307061112852</v>
      </c>
      <c r="C16" s="405">
        <v>73.486999999999995</v>
      </c>
      <c r="D16" s="450">
        <v>4</v>
      </c>
      <c r="E16" s="450" t="s">
        <v>358</v>
      </c>
    </row>
    <row r="17" spans="1:11">
      <c r="A17" s="405" t="s">
        <v>351</v>
      </c>
      <c r="B17" s="408">
        <f t="shared" si="0"/>
        <v>52.009623549391449</v>
      </c>
      <c r="C17" s="405">
        <v>42.396000000000001</v>
      </c>
    </row>
    <row r="18" spans="1:11">
      <c r="A18" s="405" t="s">
        <v>332</v>
      </c>
      <c r="B18" s="408">
        <f t="shared" si="0"/>
        <v>60.00979751796212</v>
      </c>
      <c r="C18" s="405">
        <v>36.744</v>
      </c>
    </row>
    <row r="19" spans="1:11">
      <c r="D19" s="1" t="s">
        <v>434</v>
      </c>
      <c r="H19" t="s">
        <v>435</v>
      </c>
    </row>
    <row r="20" spans="1:11">
      <c r="C20" s="449" t="s">
        <v>431</v>
      </c>
      <c r="D20" s="520">
        <f>'1. Cow-Calf_InputForm'!D56*'1. Cow-Calf_InputForm'!F56*'1. Cow-Calf_InputForm'!H56</f>
        <v>0</v>
      </c>
      <c r="E20" s="520">
        <f>'1. Cow-Calf_InputForm'!J56*'1. Cow-Calf_InputForm'!L56*'1. Cow-Calf_InputForm'!N56</f>
        <v>0</v>
      </c>
      <c r="H20" s="2">
        <f>'1. Cow-Calf_InputForm'!D56*'1. Cow-Calf_InputForm'!F56</f>
        <v>0</v>
      </c>
      <c r="I20" s="2">
        <f>'1. Cow-Calf_InputForm'!J56*'1. Cow-Calf_InputForm'!L56</f>
        <v>0</v>
      </c>
    </row>
    <row r="21" spans="1:11">
      <c r="C21" s="449" t="s">
        <v>432</v>
      </c>
      <c r="D21" s="520">
        <f>'1. Cow-Calf_InputForm'!D58*'1. Cow-Calf_InputForm'!F58*'1. Cow-Calf_InputForm'!H58</f>
        <v>0</v>
      </c>
      <c r="E21" s="520">
        <f>'1. Cow-Calf_InputForm'!J58*'1. Cow-Calf_InputForm'!L58*'1. Cow-Calf_InputForm'!N58</f>
        <v>0</v>
      </c>
      <c r="H21" s="2">
        <f>'1. Cow-Calf_InputForm'!D58*'1. Cow-Calf_InputForm'!F58</f>
        <v>0</v>
      </c>
      <c r="I21" s="2">
        <f>'1. Cow-Calf_InputForm'!J58*'1. Cow-Calf_InputForm'!L58</f>
        <v>0</v>
      </c>
    </row>
    <row r="22" spans="1:11">
      <c r="C22" s="449" t="s">
        <v>433</v>
      </c>
      <c r="D22" s="520">
        <f>'1. Cow-Calf_InputForm'!D62*'1. Cow-Calf_InputForm'!F62*'1. Cow-Calf_InputForm'!H62</f>
        <v>0</v>
      </c>
      <c r="E22" s="520">
        <f>'1. Cow-Calf_InputForm'!J60*'1. Cow-Calf_InputForm'!L60*'1. Cow-Calf_InputForm'!N60</f>
        <v>0</v>
      </c>
      <c r="F22" s="416" t="s">
        <v>106</v>
      </c>
      <c r="H22" s="2">
        <f>'1. Cow-Calf_InputForm'!D62*'1. Cow-Calf_InputForm'!F62</f>
        <v>0</v>
      </c>
      <c r="I22" s="2">
        <f>'1. Cow-Calf_InputForm'!J60*'1. Cow-Calf_InputForm'!L60</f>
        <v>0</v>
      </c>
      <c r="J22" t="s">
        <v>124</v>
      </c>
    </row>
    <row r="23" spans="1:11">
      <c r="D23" s="520">
        <f>SUM(D20:D22)</f>
        <v>0</v>
      </c>
      <c r="E23" s="520">
        <f>SUM(E20:E22)</f>
        <v>0</v>
      </c>
      <c r="F23" s="520">
        <f>D23+E23</f>
        <v>0</v>
      </c>
      <c r="H23">
        <f>SUM(H20:H22)</f>
        <v>0</v>
      </c>
      <c r="I23">
        <f>SUM(I20:I22)</f>
        <v>0</v>
      </c>
      <c r="J23" s="2">
        <f>H23+I23</f>
        <v>0</v>
      </c>
    </row>
    <row r="25" spans="1:11">
      <c r="D25" s="823" t="s">
        <v>30</v>
      </c>
      <c r="E25" s="534"/>
    </row>
    <row r="26" spans="1:11">
      <c r="D26" s="533" t="s">
        <v>437</v>
      </c>
    </row>
    <row r="27" spans="1:11">
      <c r="D27" t="s">
        <v>438</v>
      </c>
      <c r="E27" t="s">
        <v>439</v>
      </c>
      <c r="F27" t="s">
        <v>42</v>
      </c>
      <c r="G27" s="2" t="s">
        <v>234</v>
      </c>
    </row>
    <row r="28" spans="1:11">
      <c r="D28" s="2">
        <f>'1. Cow-Calf_InputForm'!H23*'1. Cow-Calf_InputForm'!D34+'1. Cow-Calf_InputForm'!H25*'1. Cow-Calf_InputForm'!D36+'1. Cow-Calf_InputForm'!H27*'1. Cow-Calf_InputForm'!D38</f>
        <v>0</v>
      </c>
      <c r="E28">
        <f>'1. Cow-Calf_InputForm'!R23*'1. Cow-Calf_InputForm'!F34+'1. Cow-Calf_InputForm'!R25*'1. Cow-Calf_InputForm'!F36+'1. Cow-Calf_InputForm'!R27*'1. Cow-Calf_InputForm'!F38</f>
        <v>0</v>
      </c>
      <c r="F28">
        <f>'1. Cow-Calf_InputForm'!F79+'1. Cow-Calf_InputForm'!F81+'1. Cow-Calf_InputForm'!F83+('2a. Replacement_InputForm'!N13*'2a. Replacement_InputForm'!N15)</f>
        <v>0</v>
      </c>
      <c r="G28" s="2">
        <f>'1. Cow-Calf_InputForm'!H71+'1. Cow-Calf_InputForm'!H73+'1. Cow-Calf_InputForm'!H75</f>
        <v>0</v>
      </c>
    </row>
    <row r="29" spans="1:11">
      <c r="D29" s="2">
        <f>D28-(E28-F28)-G28</f>
        <v>0</v>
      </c>
    </row>
    <row r="31" spans="1:11">
      <c r="A31" s="534" t="s">
        <v>447</v>
      </c>
      <c r="B31" s="534"/>
      <c r="H31" s="534" t="s">
        <v>510</v>
      </c>
      <c r="I31" s="534"/>
      <c r="J31" t="s">
        <v>371</v>
      </c>
      <c r="K31" s="2" t="s">
        <v>375</v>
      </c>
    </row>
    <row r="32" spans="1:11">
      <c r="B32" s="416" t="s">
        <v>433</v>
      </c>
      <c r="C32" s="416" t="s">
        <v>448</v>
      </c>
      <c r="D32" s="416" t="s">
        <v>455</v>
      </c>
      <c r="H32" t="s">
        <v>141</v>
      </c>
      <c r="I32">
        <f>'1. Cow-Calf_InputForm'!D103*'1. Cow-Calf_InputForm'!F103+'1. Cow-Calf_InputForm'!D104*'1. Cow-Calf_InputForm'!F104+'1. Cow-Calf_InputForm'!D105*'1. Cow-Calf_InputForm'!F105+'1. Cow-Calf_InputForm'!D106*'1. Cow-Calf_InputForm'!F106+'1. Cow-Calf_InputForm'!D107*'1. Cow-Calf_InputForm'!F107+'1. Cow-Calf_InputForm'!D108*'1. Cow-Calf_InputForm'!F108+'1. Cow-Calf_InputForm'!D109*'1. Cow-Calf_InputForm'!F109</f>
        <v>0</v>
      </c>
      <c r="J32">
        <f>'1. Cow-Calf_InputForm'!P103*'1. Cow-Calf_InputForm'!R103+'1. Cow-Calf_InputForm'!P104*'1. Cow-Calf_InputForm'!R104+'1. Cow-Calf_InputForm'!P105*'1. Cow-Calf_InputForm'!R105+'1. Cow-Calf_InputForm'!P106*'1. Cow-Calf_InputForm'!R106+'1. Cow-Calf_InputForm'!P106*'1. Cow-Calf_InputForm'!R106+'1. Cow-Calf_InputForm'!P107*'1. Cow-Calf_InputForm'!R107+'1. Cow-Calf_InputForm'!P108*'1. Cow-Calf_InputForm'!R108+'1. Cow-Calf_InputForm'!P109*'1. Cow-Calf_InputForm'!R109</f>
        <v>0</v>
      </c>
      <c r="K32" s="2">
        <f>I32+J32</f>
        <v>0</v>
      </c>
    </row>
    <row r="33" spans="1:12">
      <c r="A33" t="s">
        <v>0</v>
      </c>
      <c r="B33" s="2">
        <f>'3. Backgrounder_InputForm'!D13</f>
        <v>0</v>
      </c>
      <c r="C33" s="2">
        <f>'3. Backgrounder_InputForm'!F13</f>
        <v>0</v>
      </c>
      <c r="D33" s="2">
        <f>B33+C33</f>
        <v>0</v>
      </c>
      <c r="H33" t="s">
        <v>160</v>
      </c>
      <c r="I33">
        <f>'2a. Replacement_InputForm'!D56*'2a. Replacement_InputForm'!F56+'2a. Replacement_InputForm'!D57*'2a. Replacement_InputForm'!F57+'2a. Replacement_InputForm'!D58*'2a. Replacement_InputForm'!F58+'2a. Replacement_InputForm'!D59*'2a. Replacement_InputForm'!F59+'2a. Replacement_InputForm'!D60*'2a. Replacement_InputForm'!F60</f>
        <v>0</v>
      </c>
      <c r="J33">
        <f>'2a. Replacement_InputForm'!P56*'2a. Replacement_InputForm'!R56+'2a. Replacement_InputForm'!P57*'2a. Replacement_InputForm'!R57+'2a. Replacement_InputForm'!P58*'2a. Replacement_InputForm'!R58+'2a. Replacement_InputForm'!P59*'2a. Replacement_InputForm'!R59+'2a. Replacement_InputForm'!P60*'2a. Replacement_InputForm'!R60</f>
        <v>0</v>
      </c>
      <c r="K33" s="2">
        <f>I33+J33</f>
        <v>0</v>
      </c>
    </row>
    <row r="34" spans="1:12">
      <c r="A34" t="s">
        <v>449</v>
      </c>
      <c r="B34" s="540">
        <f>'3. Backgrounder_InputForm'!D20</f>
        <v>0</v>
      </c>
      <c r="C34" s="540">
        <f>'3. Backgrounder_InputForm'!D30</f>
        <v>0</v>
      </c>
      <c r="D34" s="540">
        <f>IF(C33=0,B34,AVERAGE(B34,C34))</f>
        <v>0</v>
      </c>
      <c r="H34" t="s">
        <v>104</v>
      </c>
      <c r="I34">
        <f>'4. Grasser_InputForm'!D45*'4. Grasser_InputForm'!F45+'4. Grasser_InputForm'!D46*'4. Grasser_InputForm'!F46+'4. Grasser_InputForm'!D47*'4. Grasser_InputForm'!F47+'4. Grasser_InputForm'!D48*'4. Grasser_InputForm'!F48+'4. Grasser_InputForm'!D49*'4. Grasser_InputForm'!F49</f>
        <v>0</v>
      </c>
      <c r="J34">
        <f>'4. Grasser_InputForm'!P45*'4. Grasser_InputForm'!R45+'4. Grasser_InputForm'!P46*'4. Grasser_InputForm'!R46+'4. Grasser_InputForm'!P47*'4. Grasser_InputForm'!R47+'4. Grasser_InputForm'!P48*'4. Grasser_InputForm'!R48+'4. Grasser_InputForm'!P49*'4. Grasser_InputForm'!R49</f>
        <v>0</v>
      </c>
      <c r="K34" s="2">
        <f>I34+J34</f>
        <v>0</v>
      </c>
    </row>
    <row r="35" spans="1:12">
      <c r="B35" s="2" t="s">
        <v>456</v>
      </c>
      <c r="C35" t="s">
        <v>0</v>
      </c>
      <c r="D35" s="1" t="s">
        <v>453</v>
      </c>
      <c r="E35" s="1" t="s">
        <v>454</v>
      </c>
      <c r="K35" s="544">
        <f>SUM(K32:K34)</f>
        <v>0</v>
      </c>
      <c r="L35" t="s">
        <v>511</v>
      </c>
    </row>
    <row r="36" spans="1:12">
      <c r="A36" s="536" t="s">
        <v>450</v>
      </c>
      <c r="B36" s="541">
        <f>'3. Backgrounder_InputForm'!D34</f>
        <v>0</v>
      </c>
      <c r="C36" s="538">
        <f>'3. Backgrounder_InputForm'!F34</f>
        <v>0</v>
      </c>
      <c r="D36" s="538">
        <f>B36-D34</f>
        <v>0</v>
      </c>
      <c r="E36" s="538">
        <f>D36*C36</f>
        <v>0</v>
      </c>
    </row>
    <row r="37" spans="1:12">
      <c r="A37" s="536" t="s">
        <v>451</v>
      </c>
      <c r="B37" s="541">
        <f>'3. Backgrounder_InputForm'!D36</f>
        <v>0</v>
      </c>
      <c r="C37" s="538">
        <f>'3. Backgrounder_InputForm'!F36</f>
        <v>0</v>
      </c>
      <c r="D37" s="538">
        <f>B37-D34</f>
        <v>0</v>
      </c>
      <c r="E37" s="538">
        <f>D37*C37</f>
        <v>0</v>
      </c>
    </row>
    <row r="38" spans="1:12">
      <c r="A38" s="536" t="s">
        <v>452</v>
      </c>
      <c r="B38" s="541">
        <f>'3. Backgrounder_InputForm'!D38</f>
        <v>0</v>
      </c>
      <c r="C38" s="538">
        <f>'3. Backgrounder_InputForm'!F38</f>
        <v>0</v>
      </c>
      <c r="D38" s="538">
        <f>B38-D34</f>
        <v>0</v>
      </c>
      <c r="E38" s="538">
        <f>D38*C38</f>
        <v>0</v>
      </c>
    </row>
    <row r="39" spans="1:12">
      <c r="A39" t="s">
        <v>460</v>
      </c>
      <c r="B39" s="539">
        <f>'3. Backgrounder_InputForm'!D22</f>
        <v>0</v>
      </c>
      <c r="C39" s="2">
        <f>'3. Backgrounder_InputForm'!L13</f>
        <v>0</v>
      </c>
      <c r="D39" s="408">
        <f>B39-D34</f>
        <v>0</v>
      </c>
      <c r="E39" s="542">
        <f>D39*C39</f>
        <v>0</v>
      </c>
      <c r="H39" s="581" t="s">
        <v>541</v>
      </c>
      <c r="I39" s="581"/>
      <c r="J39" s="581"/>
    </row>
    <row r="40" spans="1:12">
      <c r="A40" t="s">
        <v>461</v>
      </c>
      <c r="B40" s="543">
        <f>'3. Backgrounder_InputForm'!D24</f>
        <v>0</v>
      </c>
      <c r="C40" s="2">
        <f>'3. Backgrounder_InputForm'!N13</f>
        <v>0</v>
      </c>
      <c r="D40" s="2">
        <f>B40-D34</f>
        <v>0</v>
      </c>
      <c r="E40" s="542">
        <f>D40*C40</f>
        <v>0</v>
      </c>
      <c r="H40" t="s">
        <v>542</v>
      </c>
      <c r="I40" t="s">
        <v>512</v>
      </c>
      <c r="J40" t="s">
        <v>543</v>
      </c>
    </row>
    <row r="41" spans="1:12">
      <c r="E41" s="542">
        <f>SUM(E36:E40)</f>
        <v>0</v>
      </c>
      <c r="H41">
        <f>'1. Cow-Calf_InputForm'!D25+'1. Cow-Calf_InputForm'!D27</f>
        <v>0</v>
      </c>
      <c r="I41">
        <f>'1. Cow-Calf_InputForm'!D23</f>
        <v>0</v>
      </c>
      <c r="J41" s="2" t="e">
        <f>ROUND(H41/I41,0)&amp;":"&amp;(I41/I41)</f>
        <v>#DIV/0!</v>
      </c>
    </row>
    <row r="42" spans="1:12">
      <c r="A42" s="1" t="s">
        <v>457</v>
      </c>
      <c r="B42" s="416" t="s">
        <v>433</v>
      </c>
      <c r="C42" s="416" t="s">
        <v>448</v>
      </c>
      <c r="D42" s="416" t="s">
        <v>462</v>
      </c>
    </row>
    <row r="43" spans="1:12">
      <c r="A43" t="s">
        <v>458</v>
      </c>
      <c r="B43" s="2">
        <f>'3. Backgrounder_InputForm'!D13*'3. Backgrounder_InputForm'!D15</f>
        <v>0</v>
      </c>
      <c r="C43" s="2">
        <f>'3. Backgrounder_InputForm'!F30*'3. Backgrounder_InputForm'!H30</f>
        <v>0</v>
      </c>
      <c r="D43" s="544">
        <f>B43+C43</f>
        <v>0</v>
      </c>
    </row>
    <row r="44" spans="1:12">
      <c r="A44" t="s">
        <v>459</v>
      </c>
      <c r="B44" s="2">
        <f>'3. Backgrounder_InputForm'!F34*'3. Backgrounder_InputForm'!H34+'3. Backgrounder_InputForm'!F36*'3. Backgrounder_InputForm'!H36+'3. Backgrounder_InputForm'!F38*'3. Backgrounder_InputForm'!H38</f>
        <v>0</v>
      </c>
      <c r="C44" s="2">
        <f>'3. Backgrounder_InputForm'!L13*'3. Backgrounder_InputForm'!L15</f>
        <v>0</v>
      </c>
      <c r="D44" s="2">
        <f>'3. Backgrounder_InputForm'!N13*'3. Backgrounder_InputForm'!N15</f>
        <v>0</v>
      </c>
      <c r="E44" s="545">
        <f>B44+C44+D44</f>
        <v>0</v>
      </c>
      <c r="F44" t="s">
        <v>463</v>
      </c>
    </row>
    <row r="45" spans="1:12">
      <c r="B45" s="2" t="s">
        <v>464</v>
      </c>
      <c r="C45" s="2" t="s">
        <v>465</v>
      </c>
      <c r="D45" s="2" t="s">
        <v>466</v>
      </c>
    </row>
    <row r="46" spans="1:12">
      <c r="E46" s="544">
        <f>E44-D43</f>
        <v>0</v>
      </c>
      <c r="F46" t="s">
        <v>228</v>
      </c>
    </row>
    <row r="48" spans="1:12">
      <c r="A48" s="534" t="s">
        <v>469</v>
      </c>
      <c r="B48" t="s">
        <v>471</v>
      </c>
      <c r="C48" t="s">
        <v>472</v>
      </c>
      <c r="D48" t="s">
        <v>473</v>
      </c>
    </row>
    <row r="49" spans="1:6">
      <c r="A49" t="s">
        <v>470</v>
      </c>
      <c r="B49" s="543">
        <f>'4. Grasser_InputForm'!D20</f>
        <v>0</v>
      </c>
      <c r="C49" s="539">
        <f>'4. Grasser_InputForm'!D30</f>
        <v>0</v>
      </c>
      <c r="D49" s="539">
        <f>IF(C49=0, B49,AVERAGE(B49,C49))</f>
        <v>0</v>
      </c>
    </row>
    <row r="50" spans="1:6">
      <c r="B50" s="543" t="s">
        <v>456</v>
      </c>
      <c r="C50" s="539" t="s">
        <v>0</v>
      </c>
      <c r="D50" s="539" t="s">
        <v>475</v>
      </c>
      <c r="E50" t="s">
        <v>454</v>
      </c>
    </row>
    <row r="51" spans="1:6">
      <c r="A51" s="536" t="s">
        <v>450</v>
      </c>
      <c r="B51" s="547">
        <f>'4. Grasser_InputForm'!D34</f>
        <v>0</v>
      </c>
      <c r="C51" s="546">
        <f>'4. Grasser_InputForm'!F34</f>
        <v>0</v>
      </c>
      <c r="D51" s="538">
        <f>B51-D49</f>
        <v>0</v>
      </c>
      <c r="E51" s="537">
        <f>D51*C51</f>
        <v>0</v>
      </c>
    </row>
    <row r="52" spans="1:6">
      <c r="A52" s="536" t="s">
        <v>451</v>
      </c>
      <c r="B52" s="547">
        <f>'4. Grasser_InputForm'!D36</f>
        <v>0</v>
      </c>
      <c r="C52" s="546">
        <f>'4. Grasser_InputForm'!F36</f>
        <v>0</v>
      </c>
      <c r="D52" s="538">
        <f>B52-D49</f>
        <v>0</v>
      </c>
      <c r="E52" s="537">
        <f>D52*C52</f>
        <v>0</v>
      </c>
    </row>
    <row r="53" spans="1:6">
      <c r="A53" s="536" t="s">
        <v>474</v>
      </c>
      <c r="B53" s="547">
        <f>'4. Grasser_InputForm'!D38</f>
        <v>0</v>
      </c>
      <c r="C53" s="536">
        <f>'4. Grasser_InputForm'!D38</f>
        <v>0</v>
      </c>
      <c r="D53" s="538">
        <f>B53-D49</f>
        <v>0</v>
      </c>
      <c r="E53" s="537">
        <f>D53*C53</f>
        <v>0</v>
      </c>
    </row>
    <row r="54" spans="1:6">
      <c r="A54" s="389" t="s">
        <v>461</v>
      </c>
      <c r="B54" s="543">
        <f>'4. Grasser_InputForm'!D22</f>
        <v>0</v>
      </c>
      <c r="C54">
        <f>'4. Grasser_InputForm'!L13</f>
        <v>0</v>
      </c>
      <c r="D54" s="408">
        <f>B54-D49</f>
        <v>0</v>
      </c>
      <c r="E54" s="537">
        <f>D54*C54</f>
        <v>0</v>
      </c>
    </row>
    <row r="55" spans="1:6">
      <c r="E55" s="548">
        <f>SUM(E51:E54)</f>
        <v>0</v>
      </c>
      <c r="F55" s="1" t="s">
        <v>454</v>
      </c>
    </row>
    <row r="56" spans="1:6">
      <c r="A56" s="1" t="s">
        <v>457</v>
      </c>
      <c r="B56" t="s">
        <v>433</v>
      </c>
      <c r="C56" t="s">
        <v>448</v>
      </c>
      <c r="D56" s="416" t="s">
        <v>476</v>
      </c>
    </row>
    <row r="57" spans="1:6">
      <c r="A57" t="s">
        <v>458</v>
      </c>
      <c r="B57">
        <f>'4. Grasser_InputForm'!D13*'4. Grasser_InputForm'!D15</f>
        <v>0</v>
      </c>
      <c r="C57">
        <f>'4. Grasser_InputForm'!F30*'4. Grasser_InputForm'!H30</f>
        <v>0</v>
      </c>
      <c r="D57" s="544">
        <f>B57+C57</f>
        <v>0</v>
      </c>
    </row>
    <row r="58" spans="1:6">
      <c r="A58" t="s">
        <v>459</v>
      </c>
      <c r="B58" s="536">
        <f>'4. Grasser_InputForm'!F34*'4. Grasser_InputForm'!H34+'4. Grasser_InputForm'!F36*'4. Grasser_InputForm'!H36+'4. Grasser_InputForm'!F38*'4. Grasser_InputForm'!H38</f>
        <v>0</v>
      </c>
      <c r="C58" s="536">
        <f>'4. Grasser_InputForm'!L13*'4. Grasser_InputForm'!L15</f>
        <v>0</v>
      </c>
      <c r="D58" s="544">
        <f>B58+C58</f>
        <v>0</v>
      </c>
    </row>
    <row r="59" spans="1:6">
      <c r="B59" s="537" t="s">
        <v>464</v>
      </c>
      <c r="C59" s="537" t="s">
        <v>466</v>
      </c>
      <c r="D59" s="544">
        <f>D58-D57</f>
        <v>0</v>
      </c>
      <c r="E59" t="s">
        <v>477</v>
      </c>
    </row>
    <row r="62" spans="1:6">
      <c r="A62" s="534" t="s">
        <v>506</v>
      </c>
      <c r="B62" s="534"/>
    </row>
    <row r="63" spans="1:6">
      <c r="B63" s="416" t="s">
        <v>433</v>
      </c>
      <c r="C63" s="416" t="s">
        <v>448</v>
      </c>
      <c r="D63" s="416" t="s">
        <v>455</v>
      </c>
    </row>
    <row r="64" spans="1:6">
      <c r="A64" t="s">
        <v>0</v>
      </c>
      <c r="B64" s="2">
        <f>'5. Finisher_InputForm'!D12+'5. Finisher_InputForm'!F12</f>
        <v>0</v>
      </c>
      <c r="C64" s="535">
        <f>'5. Finisher_InputForm'!F27</f>
        <v>0</v>
      </c>
      <c r="D64" s="535">
        <f>B64+C64</f>
        <v>0</v>
      </c>
      <c r="E64" s="1" t="s">
        <v>507</v>
      </c>
    </row>
    <row r="65" spans="1:6">
      <c r="A65" t="s">
        <v>449</v>
      </c>
      <c r="B65" s="2">
        <f>'5. Finisher_InputForm'!D19</f>
        <v>0</v>
      </c>
      <c r="C65" s="2">
        <f>'5. Finisher_InputForm'!D21</f>
        <v>0</v>
      </c>
      <c r="D65" s="2">
        <f>'5. Finisher_InputForm'!D27</f>
        <v>0</v>
      </c>
      <c r="E65" s="559">
        <f>IF(C65=0,IF(D65=0,B65,AVERAGE(B65,C65,D65)))</f>
        <v>0</v>
      </c>
    </row>
    <row r="66" spans="1:6">
      <c r="B66" s="2" t="s">
        <v>456</v>
      </c>
      <c r="C66" t="s">
        <v>0</v>
      </c>
      <c r="D66" s="1" t="s">
        <v>453</v>
      </c>
      <c r="E66" s="1" t="s">
        <v>454</v>
      </c>
    </row>
    <row r="67" spans="1:6">
      <c r="A67" s="536" t="s">
        <v>450</v>
      </c>
      <c r="B67" s="539">
        <f>'5. Finisher_InputForm'!D31</f>
        <v>0</v>
      </c>
      <c r="C67" s="408">
        <f>'5. Finisher_InputForm'!F31</f>
        <v>0</v>
      </c>
      <c r="D67" s="408">
        <f>B67-E65</f>
        <v>0</v>
      </c>
      <c r="E67" s="2">
        <f>C67*D67</f>
        <v>0</v>
      </c>
    </row>
    <row r="68" spans="1:6">
      <c r="A68" s="536" t="s">
        <v>451</v>
      </c>
      <c r="B68" s="539">
        <f>'5. Finisher_InputForm'!D33</f>
        <v>0</v>
      </c>
      <c r="C68" s="408">
        <f>'5. Finisher_InputForm'!F33</f>
        <v>0</v>
      </c>
      <c r="D68" s="408">
        <f>B68-E65</f>
        <v>0</v>
      </c>
      <c r="E68" s="2">
        <f>C68*D68</f>
        <v>0</v>
      </c>
    </row>
    <row r="69" spans="1:6">
      <c r="A69" s="536" t="s">
        <v>452</v>
      </c>
      <c r="B69" s="539">
        <f>'5. Finisher_InputForm'!D35</f>
        <v>0</v>
      </c>
      <c r="C69" s="408">
        <f>'5. Finisher_InputForm'!F35</f>
        <v>0</v>
      </c>
      <c r="D69" s="408">
        <f>B69-E65</f>
        <v>0</v>
      </c>
      <c r="E69" s="2">
        <f>C69*D69</f>
        <v>0</v>
      </c>
    </row>
    <row r="70" spans="1:6">
      <c r="E70" s="534">
        <f>SUM(E67:E69)</f>
        <v>0</v>
      </c>
      <c r="F70" t="s">
        <v>508</v>
      </c>
    </row>
    <row r="72" spans="1:6">
      <c r="A72" s="1" t="s">
        <v>457</v>
      </c>
    </row>
    <row r="73" spans="1:6">
      <c r="A73" t="s">
        <v>458</v>
      </c>
      <c r="B73" s="2">
        <f>'5. Finisher_InputForm'!D12*'5. Finisher_InputForm'!D14+'5. Finisher_InputForm'!F12*'5. Finisher_InputForm'!F14+'5. Finisher_InputForm'!F27*'5. Finisher_InputForm'!H27</f>
        <v>0</v>
      </c>
    </row>
    <row r="74" spans="1:6">
      <c r="A74" t="s">
        <v>459</v>
      </c>
      <c r="B74" s="2">
        <f>'5. Finisher_InputForm'!F31*'5. Finisher_InputForm'!H31+'5. Finisher_InputForm'!F33*'5. Finisher_InputForm'!H33+'5. Finisher_InputForm'!F35*'5. Finisher_InputForm'!H35</f>
        <v>0</v>
      </c>
    </row>
    <row r="75" spans="1:6">
      <c r="B75" s="534">
        <f>B74-B73</f>
        <v>0</v>
      </c>
      <c r="C75" t="s">
        <v>477</v>
      </c>
    </row>
  </sheetData>
  <sortState ref="A3:C18">
    <sortCondition ref="A3:A18"/>
  </sortState>
  <phoneticPr fontId="116" type="noConversion"/>
  <pageMargins left="0.7" right="0.7" top="0.75" bottom="0.75" header="0.3" footer="0.3"/>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B1:AN42"/>
  <sheetViews>
    <sheetView showGridLines="0" showRowColHeaders="0" zoomScale="80" zoomScaleNormal="80" zoomScalePageLayoutView="80" workbookViewId="0">
      <selection activeCell="B2" sqref="B2"/>
    </sheetView>
  </sheetViews>
  <sheetFormatPr baseColWidth="10" defaultColWidth="8.83203125" defaultRowHeight="14"/>
  <cols>
    <col min="1" max="1" width="5" style="74" customWidth="1"/>
    <col min="2" max="2" width="29.6640625" style="74" customWidth="1"/>
    <col min="3" max="3" width="2.1640625" style="74" customWidth="1"/>
    <col min="4" max="4" width="12.1640625" style="73" customWidth="1"/>
    <col min="5" max="5" width="2" style="73" customWidth="1"/>
    <col min="6" max="6" width="12.5" style="73" customWidth="1"/>
    <col min="7" max="7" width="2.33203125" style="73" customWidth="1"/>
    <col min="8" max="8" width="12.5" style="73" customWidth="1"/>
    <col min="9" max="9" width="1.6640625" style="73" customWidth="1"/>
    <col min="10" max="10" width="12.6640625" style="74" customWidth="1"/>
    <col min="11" max="11" width="1.6640625" style="74" customWidth="1"/>
    <col min="12" max="12" width="14.5" style="74" customWidth="1"/>
    <col min="13" max="13" width="1.6640625" style="73" customWidth="1"/>
    <col min="14" max="14" width="13.5" style="73" customWidth="1"/>
    <col min="15" max="15" width="1.5" style="73" customWidth="1"/>
    <col min="16" max="16" width="13.5" style="73" customWidth="1"/>
    <col min="17" max="17" width="1.83203125" style="73" customWidth="1"/>
    <col min="18" max="18" width="12.6640625" style="73" customWidth="1"/>
    <col min="19" max="19" width="1.5" style="78" customWidth="1"/>
    <col min="20" max="20" width="13.6640625" customWidth="1"/>
    <col min="21" max="21" width="2" customWidth="1"/>
    <col min="22" max="22" width="15.1640625" customWidth="1"/>
    <col min="25" max="25" width="8.83203125" style="2"/>
    <col min="26" max="26" width="3.5" style="74" customWidth="1"/>
    <col min="33" max="33" width="3.33203125" style="74" customWidth="1"/>
    <col min="34" max="34" width="9.33203125" style="74" customWidth="1"/>
    <col min="39" max="16384" width="8.83203125" style="74"/>
  </cols>
  <sheetData>
    <row r="1" spans="2:40" ht="57.75" customHeight="1"/>
    <row r="2" spans="2:40" ht="49.5" customHeight="1">
      <c r="B2" s="93" t="str">
        <f>IF('About My Ranch'!D14="X","The required data for the GRAIN Enterprise will be entered in this tab.","You did not indicate in the 'About My Ranch' Tab that you have a GRAIN Enterprise.")</f>
        <v>You did not indicate in the 'About My Ranch' Tab that you have a GRAIN Enterprise.</v>
      </c>
      <c r="C2" s="93"/>
    </row>
    <row r="3" spans="2:40" s="375" customFormat="1" ht="24.75" customHeight="1">
      <c r="D3" s="376"/>
      <c r="E3" s="376"/>
      <c r="F3" s="205"/>
      <c r="G3" s="205"/>
      <c r="H3" s="377"/>
      <c r="I3" s="378"/>
      <c r="M3" s="78"/>
      <c r="N3" s="78"/>
      <c r="O3" s="78"/>
      <c r="P3" s="78"/>
      <c r="Q3" s="78"/>
      <c r="R3" s="78"/>
      <c r="S3" s="78"/>
      <c r="T3" s="389"/>
      <c r="U3" s="389"/>
      <c r="V3" s="389"/>
      <c r="W3" s="389"/>
      <c r="X3" s="389"/>
      <c r="Y3" s="402"/>
      <c r="AA3" s="389"/>
      <c r="AB3" s="389"/>
      <c r="AC3" s="389"/>
      <c r="AD3" s="389"/>
      <c r="AE3" s="389"/>
      <c r="AF3" s="389"/>
      <c r="AI3" s="389"/>
      <c r="AJ3" s="389"/>
      <c r="AK3" s="389"/>
      <c r="AL3" s="389"/>
    </row>
    <row r="4" spans="2:40" s="375" customFormat="1" ht="11.25" customHeight="1">
      <c r="D4" s="376"/>
      <c r="E4" s="376"/>
      <c r="F4" s="205"/>
      <c r="G4" s="205"/>
      <c r="H4" s="377"/>
      <c r="I4" s="378"/>
      <c r="M4" s="78"/>
      <c r="N4" s="78"/>
      <c r="O4" s="78"/>
      <c r="P4" s="78"/>
      <c r="Q4" s="78"/>
      <c r="R4" s="78"/>
      <c r="S4" s="78"/>
      <c r="T4" s="389"/>
      <c r="U4" s="389"/>
      <c r="V4" s="389"/>
      <c r="W4" s="389"/>
      <c r="X4" s="389"/>
      <c r="Y4" s="402"/>
      <c r="AA4" s="389"/>
      <c r="AB4" s="389"/>
      <c r="AC4" s="389"/>
      <c r="AD4" s="389"/>
      <c r="AE4" s="389"/>
      <c r="AF4" s="389"/>
      <c r="AI4" s="389"/>
      <c r="AJ4" s="389"/>
      <c r="AK4" s="389"/>
      <c r="AL4" s="389"/>
    </row>
    <row r="5" spans="2:40" s="375" customFormat="1" ht="39" customHeight="1">
      <c r="B5" s="390"/>
      <c r="C5" s="390"/>
      <c r="D5" s="350"/>
      <c r="E5" s="391"/>
      <c r="F5" s="350"/>
      <c r="G5" s="78"/>
      <c r="H5" s="299"/>
      <c r="I5" s="299"/>
      <c r="J5" s="300"/>
      <c r="K5" s="299"/>
      <c r="L5" s="379"/>
      <c r="M5" s="380"/>
      <c r="N5" s="350"/>
      <c r="O5" s="78"/>
      <c r="P5" s="78"/>
      <c r="Q5" s="381"/>
      <c r="R5" s="382"/>
      <c r="S5" s="78"/>
      <c r="T5" s="389"/>
      <c r="U5" s="78"/>
      <c r="Y5" s="78"/>
    </row>
    <row r="6" spans="2:40" s="375" customFormat="1" ht="18.75" customHeight="1">
      <c r="B6" s="392"/>
      <c r="C6" s="393"/>
      <c r="D6" s="394"/>
      <c r="E6" s="313"/>
      <c r="F6" s="394"/>
      <c r="G6" s="78"/>
      <c r="H6" s="310"/>
      <c r="I6" s="310"/>
      <c r="J6" s="313"/>
      <c r="K6" s="313"/>
      <c r="L6" s="313"/>
      <c r="M6" s="313"/>
      <c r="N6" s="313"/>
      <c r="O6" s="78"/>
      <c r="P6" s="78"/>
      <c r="Q6" s="78"/>
      <c r="R6" s="384"/>
      <c r="S6" s="78"/>
      <c r="T6" s="389"/>
      <c r="U6" s="78"/>
      <c r="V6" s="389"/>
      <c r="W6" s="389"/>
      <c r="X6" s="389"/>
      <c r="Y6" s="402"/>
      <c r="Z6" s="389"/>
      <c r="AA6" s="389"/>
      <c r="AC6" s="389"/>
      <c r="AD6" s="389"/>
      <c r="AE6" s="389"/>
      <c r="AF6" s="389"/>
      <c r="AG6" s="389"/>
      <c r="AH6" s="389"/>
      <c r="AK6" s="389"/>
      <c r="AL6" s="389"/>
      <c r="AM6" s="389"/>
      <c r="AN6" s="389"/>
    </row>
    <row r="7" spans="2:40" s="375" customFormat="1" ht="8.25" customHeight="1">
      <c r="B7" s="390"/>
      <c r="C7" s="395"/>
      <c r="D7" s="313"/>
      <c r="E7" s="313"/>
      <c r="F7" s="313"/>
      <c r="G7" s="78"/>
      <c r="H7" s="310"/>
      <c r="I7" s="310"/>
      <c r="J7" s="313"/>
      <c r="K7" s="313"/>
      <c r="L7" s="313"/>
      <c r="M7" s="313"/>
      <c r="N7" s="313"/>
      <c r="O7" s="78"/>
      <c r="P7" s="78"/>
      <c r="Q7" s="78"/>
      <c r="R7" s="78"/>
      <c r="S7" s="78"/>
      <c r="T7" s="78"/>
      <c r="U7" s="78"/>
      <c r="V7" s="389"/>
      <c r="W7" s="389"/>
      <c r="X7" s="389"/>
      <c r="Y7" s="402"/>
      <c r="Z7" s="389"/>
      <c r="AA7" s="389"/>
      <c r="AC7" s="389"/>
      <c r="AD7" s="389"/>
      <c r="AE7" s="389"/>
      <c r="AF7" s="389"/>
      <c r="AG7" s="389"/>
      <c r="AH7" s="389"/>
      <c r="AK7" s="389"/>
      <c r="AL7" s="389"/>
      <c r="AM7" s="389"/>
      <c r="AN7" s="389"/>
    </row>
    <row r="8" spans="2:40" ht="59.25" customHeight="1">
      <c r="B8" s="399" t="s">
        <v>353</v>
      </c>
      <c r="C8" s="252"/>
      <c r="D8" s="420" t="s">
        <v>331</v>
      </c>
      <c r="F8" s="901" t="str">
        <f>'About My Ranch'!F19&amp;" bu/ac Yield"</f>
        <v xml:space="preserve"> bu/ac Yield</v>
      </c>
      <c r="H8" s="900" t="s">
        <v>240</v>
      </c>
      <c r="I8" s="256"/>
      <c r="J8" s="918" t="s">
        <v>359</v>
      </c>
      <c r="K8" s="257"/>
      <c r="L8" s="904" t="s">
        <v>360</v>
      </c>
      <c r="M8" s="257"/>
      <c r="N8" s="905" t="s">
        <v>334</v>
      </c>
      <c r="O8" s="257"/>
      <c r="P8" s="915" t="s">
        <v>362</v>
      </c>
      <c r="Q8" s="85"/>
      <c r="R8" s="917" t="s">
        <v>361</v>
      </c>
      <c r="S8" s="73"/>
      <c r="T8" s="900" t="s">
        <v>334</v>
      </c>
      <c r="U8" s="306"/>
      <c r="V8" s="260"/>
      <c r="W8" s="260"/>
      <c r="X8" s="404"/>
      <c r="Y8" s="404"/>
      <c r="Z8" s="260"/>
      <c r="AA8" s="260"/>
      <c r="AB8" s="74"/>
      <c r="AC8" s="260"/>
      <c r="AD8" s="260"/>
      <c r="AE8" s="260"/>
      <c r="AF8" s="260"/>
      <c r="AG8" s="260"/>
      <c r="AH8" s="260"/>
      <c r="AI8" s="74"/>
      <c r="AJ8" s="74"/>
      <c r="AK8" s="260"/>
      <c r="AL8" s="260"/>
      <c r="AM8" s="260"/>
      <c r="AN8" s="260"/>
    </row>
    <row r="9" spans="2:40" ht="15.75" customHeight="1">
      <c r="B9" s="414" t="s">
        <v>354</v>
      </c>
      <c r="C9" s="252"/>
      <c r="D9" s="253"/>
      <c r="F9" s="903"/>
      <c r="H9" s="900"/>
      <c r="I9" s="256"/>
      <c r="J9" s="919"/>
      <c r="K9" s="257"/>
      <c r="L9" s="904"/>
      <c r="M9" s="257"/>
      <c r="N9" s="905"/>
      <c r="O9" s="257"/>
      <c r="P9" s="916"/>
      <c r="Q9" s="85"/>
      <c r="R9" s="917"/>
      <c r="S9" s="73"/>
      <c r="T9" s="900"/>
      <c r="U9" s="306"/>
      <c r="V9" s="260"/>
      <c r="W9" s="260"/>
      <c r="Y9" s="403"/>
      <c r="Z9" s="260"/>
      <c r="AA9" s="260"/>
      <c r="AB9" s="74"/>
      <c r="AC9" s="260"/>
      <c r="AD9" s="260"/>
      <c r="AE9" s="260"/>
      <c r="AF9" s="260"/>
      <c r="AG9" s="260"/>
      <c r="AH9" s="260"/>
      <c r="AI9" s="74"/>
      <c r="AJ9" s="74"/>
      <c r="AK9" s="260"/>
      <c r="AL9" s="260"/>
      <c r="AM9" s="260"/>
      <c r="AN9" s="260"/>
    </row>
    <row r="10" spans="2:40" ht="21.75" customHeight="1">
      <c r="B10" s="653" t="s">
        <v>291</v>
      </c>
      <c r="C10" s="208"/>
      <c r="D10" s="311"/>
      <c r="E10" s="325"/>
      <c r="F10" s="400"/>
      <c r="G10" s="325"/>
      <c r="H10" s="412">
        <f>LOOKUP(B10,Data!$A$3:$A$18,Data!$B$3:$B$18)*F10*D10/2205</f>
        <v>0</v>
      </c>
      <c r="I10" s="312"/>
      <c r="J10" s="609"/>
      <c r="K10" s="308"/>
      <c r="L10" s="654"/>
      <c r="M10" s="308"/>
      <c r="N10" s="327" t="s">
        <v>334</v>
      </c>
      <c r="O10" s="313"/>
      <c r="P10" s="656"/>
      <c r="Q10" s="314"/>
      <c r="R10" s="654"/>
      <c r="S10" s="73"/>
      <c r="T10" s="327" t="s">
        <v>334</v>
      </c>
      <c r="U10" s="316"/>
      <c r="X10" s="401"/>
      <c r="Z10"/>
      <c r="AB10" s="74"/>
      <c r="AG10"/>
      <c r="AH10"/>
      <c r="AI10" s="74"/>
      <c r="AJ10" s="74"/>
      <c r="AM10"/>
      <c r="AN10"/>
    </row>
    <row r="11" spans="2:40" ht="8.25" customHeight="1">
      <c r="B11" s="252"/>
      <c r="C11" s="207"/>
      <c r="D11" s="315"/>
      <c r="E11" s="325"/>
      <c r="F11" s="315"/>
      <c r="G11" s="325"/>
      <c r="H11" s="410"/>
      <c r="I11" s="315"/>
      <c r="J11" s="310"/>
      <c r="K11" s="308"/>
      <c r="L11" s="423"/>
      <c r="M11" s="308"/>
      <c r="N11" s="313"/>
      <c r="O11" s="314"/>
      <c r="P11" s="314"/>
      <c r="Q11" s="314"/>
      <c r="R11" s="314"/>
      <c r="S11" s="73"/>
      <c r="T11" s="313"/>
      <c r="U11" s="78"/>
      <c r="X11" s="401"/>
      <c r="Z11"/>
      <c r="AB11" s="74"/>
      <c r="AG11"/>
      <c r="AH11"/>
      <c r="AI11" s="74"/>
      <c r="AJ11" s="74"/>
      <c r="AM11"/>
      <c r="AN11"/>
    </row>
    <row r="12" spans="2:40" ht="22.5" customHeight="1">
      <c r="B12" s="653" t="s">
        <v>332</v>
      </c>
      <c r="C12" s="208"/>
      <c r="D12" s="311"/>
      <c r="E12" s="325"/>
      <c r="F12" s="311"/>
      <c r="G12" s="325"/>
      <c r="H12" s="412">
        <f>LOOKUP(B12,Data!$A$3:$A$18,Data!$B$3:$B$18)*F12*D12/2205</f>
        <v>0</v>
      </c>
      <c r="I12" s="312"/>
      <c r="J12" s="609"/>
      <c r="K12" s="308"/>
      <c r="L12" s="655"/>
      <c r="M12" s="308"/>
      <c r="N12" s="313"/>
      <c r="O12" s="313"/>
      <c r="P12" s="609"/>
      <c r="Q12" s="314"/>
      <c r="R12" s="654"/>
      <c r="S12" s="73"/>
      <c r="T12" s="313"/>
      <c r="U12" s="78"/>
      <c r="X12" s="401"/>
      <c r="Z12"/>
      <c r="AB12" s="74"/>
      <c r="AG12"/>
      <c r="AH12"/>
      <c r="AI12" s="74"/>
      <c r="AJ12" s="74"/>
      <c r="AM12"/>
      <c r="AN12"/>
    </row>
    <row r="13" spans="2:40" ht="8.25" customHeight="1">
      <c r="B13" s="261"/>
      <c r="C13" s="208"/>
      <c r="D13" s="312"/>
      <c r="E13" s="325"/>
      <c r="F13" s="312"/>
      <c r="G13" s="325"/>
      <c r="H13" s="411"/>
      <c r="I13" s="312"/>
      <c r="J13" s="310"/>
      <c r="K13" s="308"/>
      <c r="L13" s="423"/>
      <c r="M13" s="308"/>
      <c r="N13" s="313"/>
      <c r="O13" s="313"/>
      <c r="P13" s="313"/>
      <c r="Q13" s="314"/>
      <c r="R13" s="313"/>
      <c r="S13" s="73"/>
      <c r="T13" s="313"/>
      <c r="U13" s="78"/>
      <c r="Z13"/>
      <c r="AB13" s="74"/>
      <c r="AG13"/>
      <c r="AH13"/>
      <c r="AI13" s="74"/>
      <c r="AJ13" s="74"/>
      <c r="AM13"/>
      <c r="AN13"/>
    </row>
    <row r="14" spans="2:40" ht="22.5" customHeight="1">
      <c r="B14" s="653" t="s">
        <v>333</v>
      </c>
      <c r="C14" s="208"/>
      <c r="D14" s="311"/>
      <c r="E14" s="325"/>
      <c r="F14" s="311"/>
      <c r="G14" s="325"/>
      <c r="H14" s="412">
        <f>LOOKUP(B14,Data!$A$3:$A$18,Data!$B$3:$B$18)*F14*D14/2205</f>
        <v>0</v>
      </c>
      <c r="I14" s="312"/>
      <c r="J14" s="609"/>
      <c r="K14" s="308"/>
      <c r="L14" s="654"/>
      <c r="M14" s="308"/>
      <c r="N14" s="313"/>
      <c r="O14" s="313"/>
      <c r="P14" s="609"/>
      <c r="Q14" s="314"/>
      <c r="R14" s="654"/>
      <c r="S14" s="73"/>
      <c r="T14" s="313"/>
      <c r="U14" s="78"/>
      <c r="Z14"/>
      <c r="AB14" s="74"/>
      <c r="AG14"/>
      <c r="AH14"/>
      <c r="AI14" s="74"/>
      <c r="AJ14" s="74"/>
      <c r="AM14"/>
      <c r="AN14"/>
    </row>
    <row r="15" spans="2:40" ht="6.75" customHeight="1">
      <c r="B15" s="261"/>
      <c r="C15" s="208"/>
      <c r="D15" s="209"/>
      <c r="F15" s="209"/>
      <c r="H15" s="249"/>
      <c r="I15" s="209"/>
      <c r="J15" s="210"/>
      <c r="K15" s="210"/>
      <c r="L15" s="423"/>
      <c r="M15" s="210"/>
      <c r="N15" s="211"/>
      <c r="O15" s="211"/>
      <c r="P15" s="213"/>
      <c r="Q15" s="212"/>
      <c r="R15" s="419"/>
      <c r="S15" s="73"/>
      <c r="T15" s="211"/>
      <c r="U15" s="78"/>
      <c r="Z15"/>
      <c r="AB15" s="74"/>
      <c r="AG15"/>
      <c r="AH15"/>
      <c r="AI15" s="74"/>
      <c r="AJ15" s="74"/>
      <c r="AM15"/>
      <c r="AN15"/>
    </row>
    <row r="16" spans="2:40" ht="21.75" customHeight="1">
      <c r="B16" s="653" t="s">
        <v>338</v>
      </c>
      <c r="C16" s="208"/>
      <c r="D16" s="311"/>
      <c r="E16" s="325"/>
      <c r="F16" s="311"/>
      <c r="G16" s="325"/>
      <c r="H16" s="412">
        <f>LOOKUP(B16,Data!$A$3:$A$18,Data!$B$3:$B$18)*F16*D16/2205</f>
        <v>0</v>
      </c>
      <c r="I16" s="312"/>
      <c r="J16" s="609"/>
      <c r="K16" s="308"/>
      <c r="L16" s="654"/>
      <c r="M16" s="308"/>
      <c r="N16" s="313"/>
      <c r="O16" s="313"/>
      <c r="P16" s="609"/>
      <c r="Q16" s="314"/>
      <c r="R16" s="654"/>
      <c r="S16" s="73"/>
      <c r="T16" s="313"/>
      <c r="U16" s="78"/>
      <c r="Z16"/>
      <c r="AB16" s="74"/>
      <c r="AG16"/>
      <c r="AH16"/>
      <c r="AI16" s="74"/>
      <c r="AJ16" s="74"/>
      <c r="AM16"/>
      <c r="AN16"/>
    </row>
    <row r="17" spans="2:40" ht="6.75" customHeight="1">
      <c r="B17" s="261"/>
      <c r="C17" s="208"/>
      <c r="D17" s="209"/>
      <c r="F17" s="209"/>
      <c r="H17" s="249"/>
      <c r="I17" s="209"/>
      <c r="J17" s="210"/>
      <c r="K17" s="210"/>
      <c r="L17" s="423"/>
      <c r="M17" s="210"/>
      <c r="N17" s="211"/>
      <c r="O17" s="211"/>
      <c r="P17" s="213"/>
      <c r="Q17" s="212"/>
      <c r="R17" s="419"/>
      <c r="S17" s="73"/>
      <c r="T17" s="211"/>
      <c r="U17" s="78"/>
      <c r="Z17"/>
      <c r="AB17" s="74"/>
      <c r="AG17"/>
      <c r="AH17"/>
      <c r="AI17" s="74"/>
      <c r="AJ17" s="74"/>
      <c r="AM17"/>
      <c r="AN17"/>
    </row>
    <row r="18" spans="2:40" ht="21.75" customHeight="1">
      <c r="B18" s="653" t="s">
        <v>351</v>
      </c>
      <c r="C18" s="208"/>
      <c r="D18" s="311"/>
      <c r="E18" s="325"/>
      <c r="F18" s="311"/>
      <c r="G18" s="325"/>
      <c r="H18" s="412">
        <f>LOOKUP(B18,Data!$A$3:$A$18,Data!$B$3:$B$18)*F18*D18/2205</f>
        <v>0</v>
      </c>
      <c r="I18" s="312"/>
      <c r="J18" s="609"/>
      <c r="K18" s="308"/>
      <c r="L18" s="654"/>
      <c r="M18" s="308"/>
      <c r="N18" s="313"/>
      <c r="O18" s="313"/>
      <c r="P18" s="609"/>
      <c r="Q18" s="314"/>
      <c r="R18" s="654"/>
      <c r="S18" s="73"/>
      <c r="T18" s="313"/>
      <c r="U18" s="78"/>
      <c r="Z18"/>
      <c r="AB18" s="74"/>
      <c r="AG18"/>
      <c r="AH18"/>
      <c r="AI18" s="74"/>
      <c r="AJ18" s="74"/>
      <c r="AM18"/>
      <c r="AN18"/>
    </row>
    <row r="19" spans="2:40" ht="6.75" customHeight="1">
      <c r="B19" s="261"/>
      <c r="C19" s="208"/>
      <c r="D19" s="209"/>
      <c r="F19" s="209"/>
      <c r="H19" s="274"/>
      <c r="I19" s="209"/>
      <c r="J19" s="210"/>
      <c r="K19" s="210"/>
      <c r="L19" s="211"/>
      <c r="M19" s="210"/>
      <c r="N19" s="211"/>
      <c r="O19" s="211"/>
      <c r="P19" s="213"/>
      <c r="Q19" s="212"/>
      <c r="R19" s="213"/>
      <c r="S19" s="73"/>
      <c r="T19" s="73"/>
      <c r="U19" s="78"/>
      <c r="Z19"/>
      <c r="AB19" s="74"/>
      <c r="AG19"/>
      <c r="AH19"/>
      <c r="AI19" s="74"/>
      <c r="AJ19" s="74"/>
      <c r="AM19"/>
      <c r="AN19"/>
    </row>
    <row r="20" spans="2:40" ht="18.75" customHeight="1">
      <c r="B20" s="261" t="s">
        <v>81</v>
      </c>
      <c r="C20" s="208"/>
      <c r="D20" s="322">
        <f>D10+D12+D14+D16+D18</f>
        <v>0</v>
      </c>
      <c r="E20" s="323"/>
      <c r="F20" s="352"/>
      <c r="G20" s="323"/>
      <c r="H20" s="413">
        <f>SUM(H10:H18)</f>
        <v>0</v>
      </c>
      <c r="I20" s="249"/>
      <c r="J20" s="322">
        <f>J10+J12+J14+J16+J18</f>
        <v>0</v>
      </c>
      <c r="K20" s="250"/>
      <c r="L20" s="422">
        <f>Data!H8</f>
        <v>0</v>
      </c>
      <c r="M20" s="250"/>
      <c r="N20" s="352"/>
      <c r="O20" s="251"/>
      <c r="P20" s="322">
        <f>P10+P12+P14+P16+P18</f>
        <v>0</v>
      </c>
      <c r="Q20" s="324"/>
      <c r="R20" s="421">
        <f>Data!I8</f>
        <v>0</v>
      </c>
      <c r="S20" s="73"/>
      <c r="T20" s="73"/>
      <c r="U20" s="78"/>
      <c r="Z20"/>
      <c r="AB20" s="74"/>
      <c r="AG20"/>
      <c r="AH20"/>
      <c r="AI20" s="74"/>
      <c r="AJ20" s="74"/>
      <c r="AM20"/>
      <c r="AN20"/>
    </row>
    <row r="21" spans="2:40" s="375" customFormat="1" ht="17.25" customHeight="1">
      <c r="B21" s="390"/>
      <c r="C21" s="395"/>
      <c r="D21" s="271" t="s">
        <v>237</v>
      </c>
      <c r="E21" s="313"/>
      <c r="F21" s="313"/>
      <c r="G21" s="78"/>
      <c r="H21" s="271" t="s">
        <v>240</v>
      </c>
      <c r="I21" s="310"/>
      <c r="J21" s="271" t="s">
        <v>240</v>
      </c>
      <c r="K21" s="313"/>
      <c r="L21" s="271" t="s">
        <v>11</v>
      </c>
      <c r="M21" s="313"/>
      <c r="N21" s="313"/>
      <c r="O21" s="78"/>
      <c r="P21" s="271" t="s">
        <v>240</v>
      </c>
      <c r="Q21" s="78"/>
      <c r="R21" s="271" t="s">
        <v>11</v>
      </c>
      <c r="S21" s="78"/>
      <c r="T21" s="78"/>
      <c r="U21" s="78"/>
      <c r="V21" s="389"/>
      <c r="W21" s="389"/>
      <c r="X21" s="389"/>
      <c r="Y21" s="402"/>
      <c r="Z21" s="389"/>
      <c r="AA21" s="389"/>
      <c r="AC21" s="389"/>
      <c r="AD21" s="389"/>
      <c r="AE21" s="389"/>
      <c r="AF21" s="389"/>
      <c r="AG21" s="389"/>
      <c r="AH21" s="389"/>
      <c r="AK21" s="389"/>
      <c r="AL21" s="389"/>
      <c r="AM21" s="389"/>
      <c r="AN21" s="389"/>
    </row>
    <row r="22" spans="2:40" s="40" customFormat="1" ht="13">
      <c r="B22" s="41"/>
      <c r="C22" s="36"/>
      <c r="D22" s="47"/>
      <c r="E22" s="48"/>
      <c r="F22" s="55"/>
      <c r="G22" s="36"/>
      <c r="H22" s="36"/>
      <c r="I22" s="49"/>
      <c r="K22" s="60"/>
      <c r="Y22" s="54"/>
    </row>
    <row r="23" spans="2:40" s="375" customFormat="1" ht="19.5" customHeight="1">
      <c r="B23" s="392"/>
      <c r="C23" s="393"/>
      <c r="D23" s="396"/>
      <c r="E23" s="397"/>
      <c r="F23" s="396"/>
      <c r="G23" s="210"/>
      <c r="H23" s="271"/>
      <c r="I23" s="210"/>
      <c r="J23" s="396"/>
      <c r="K23" s="211"/>
      <c r="L23" s="396"/>
      <c r="M23" s="213"/>
      <c r="N23" s="396"/>
      <c r="O23" s="78"/>
      <c r="P23" s="78"/>
      <c r="Q23" s="78"/>
      <c r="R23" s="78"/>
      <c r="S23" s="78"/>
      <c r="T23" s="78"/>
      <c r="U23" s="78"/>
      <c r="V23" s="389"/>
      <c r="W23" s="389"/>
      <c r="X23" s="389"/>
      <c r="Y23" s="402"/>
      <c r="Z23" s="389"/>
      <c r="AA23" s="389"/>
      <c r="AC23" s="389"/>
      <c r="AD23" s="389"/>
      <c r="AE23" s="389"/>
      <c r="AF23" s="389"/>
      <c r="AG23" s="389"/>
      <c r="AH23" s="389"/>
      <c r="AK23" s="389"/>
      <c r="AL23" s="389"/>
      <c r="AM23" s="389"/>
      <c r="AN23" s="389"/>
    </row>
    <row r="24" spans="2:40" s="345" customFormat="1" ht="36.75" customHeight="1">
      <c r="D24" s="83"/>
      <c r="E24" s="83"/>
      <c r="F24" s="83"/>
      <c r="G24" s="83"/>
      <c r="H24" s="83"/>
      <c r="I24" s="83"/>
      <c r="J24" s="83"/>
      <c r="K24" s="83"/>
      <c r="Y24" s="83"/>
    </row>
    <row r="25" spans="2:40" s="345" customFormat="1" ht="21" customHeight="1">
      <c r="B25" s="385"/>
      <c r="D25" s="398"/>
      <c r="E25" s="374"/>
      <c r="F25" s="386"/>
      <c r="G25" s="83"/>
      <c r="I25" s="83"/>
      <c r="J25" s="83"/>
      <c r="K25" s="83"/>
      <c r="Y25" s="83"/>
    </row>
    <row r="26" spans="2:40" s="345" customFormat="1" ht="6" customHeight="1">
      <c r="D26" s="374"/>
      <c r="E26" s="374"/>
      <c r="F26" s="83"/>
      <c r="G26" s="83"/>
      <c r="I26" s="83"/>
      <c r="J26" s="83"/>
      <c r="K26" s="83"/>
      <c r="Y26" s="83"/>
    </row>
    <row r="27" spans="2:40" s="345" customFormat="1" ht="20.25" customHeight="1">
      <c r="B27" s="385"/>
      <c r="D27" s="398"/>
      <c r="E27" s="374"/>
      <c r="F27" s="386"/>
      <c r="G27" s="83"/>
      <c r="I27" s="83"/>
      <c r="J27" s="83"/>
      <c r="K27" s="83"/>
      <c r="Y27" s="83"/>
    </row>
    <row r="28" spans="2:40" s="345" customFormat="1" ht="27.75" customHeight="1">
      <c r="B28" s="387"/>
      <c r="D28" s="222"/>
      <c r="E28" s="83"/>
      <c r="F28" s="222"/>
      <c r="G28" s="83"/>
      <c r="H28" s="83"/>
      <c r="I28" s="83"/>
      <c r="J28" s="83"/>
      <c r="K28" s="83"/>
      <c r="Y28" s="83"/>
    </row>
    <row r="29" spans="2:40" s="345" customFormat="1" ht="19.5" customHeight="1">
      <c r="D29" s="83"/>
      <c r="E29" s="83"/>
      <c r="F29" s="83"/>
      <c r="G29" s="83"/>
      <c r="H29" s="83"/>
      <c r="I29" s="83"/>
      <c r="J29" s="83"/>
      <c r="K29" s="83"/>
      <c r="M29" s="369"/>
      <c r="N29" s="370"/>
      <c r="O29" s="371"/>
      <c r="P29" s="372"/>
      <c r="R29" s="83"/>
      <c r="S29" s="83"/>
      <c r="Y29" s="83"/>
    </row>
    <row r="30" spans="2:40" s="345" customFormat="1" ht="19.5" customHeight="1">
      <c r="D30" s="83"/>
      <c r="E30" s="83"/>
      <c r="F30" s="83"/>
      <c r="G30" s="83"/>
      <c r="H30" s="83"/>
      <c r="I30" s="83"/>
      <c r="J30" s="83"/>
      <c r="K30" s="83"/>
      <c r="M30" s="369"/>
      <c r="N30" s="370"/>
      <c r="O30" s="371"/>
      <c r="P30" s="372"/>
      <c r="R30" s="83"/>
      <c r="S30" s="83"/>
      <c r="Y30" s="83"/>
    </row>
    <row r="31" spans="2:40" s="389" customFormat="1">
      <c r="B31" s="375"/>
      <c r="C31" s="375"/>
      <c r="D31" s="78"/>
      <c r="E31" s="78"/>
      <c r="F31" s="78"/>
      <c r="G31" s="78"/>
      <c r="H31" s="78"/>
      <c r="I31" s="78"/>
      <c r="J31" s="388"/>
      <c r="K31" s="78"/>
      <c r="L31" s="77"/>
      <c r="M31" s="78"/>
      <c r="N31" s="78"/>
      <c r="O31" s="78"/>
      <c r="P31" s="78"/>
      <c r="Q31" s="78"/>
      <c r="R31" s="78"/>
      <c r="S31" s="78"/>
      <c r="Y31" s="402"/>
      <c r="Z31" s="375"/>
      <c r="AG31" s="375"/>
      <c r="AH31" s="375"/>
      <c r="AM31" s="375"/>
      <c r="AN31" s="375"/>
    </row>
    <row r="32" spans="2:40" s="389" customFormat="1" ht="21" customHeight="1">
      <c r="B32" s="375"/>
      <c r="C32" s="375"/>
      <c r="D32" s="78"/>
      <c r="E32" s="78"/>
      <c r="F32" s="78"/>
      <c r="G32" s="78"/>
      <c r="H32" s="78"/>
      <c r="I32" s="78"/>
      <c r="J32" s="388"/>
      <c r="K32" s="78"/>
      <c r="L32" s="77"/>
      <c r="M32" s="78"/>
      <c r="N32" s="78"/>
      <c r="O32" s="78"/>
      <c r="P32" s="78"/>
      <c r="Q32" s="78"/>
      <c r="R32" s="78"/>
      <c r="S32" s="78"/>
      <c r="Y32" s="402"/>
      <c r="Z32" s="375"/>
      <c r="AG32" s="375"/>
      <c r="AH32" s="375"/>
      <c r="AM32" s="375"/>
      <c r="AN32" s="375"/>
    </row>
    <row r="33" spans="2:40">
      <c r="J33" s="246"/>
      <c r="K33" s="73"/>
      <c r="L33" s="75"/>
    </row>
    <row r="34" spans="2:40">
      <c r="B34" s="81"/>
      <c r="C34" s="81"/>
      <c r="D34" s="81"/>
      <c r="E34" s="81"/>
      <c r="F34" s="81"/>
      <c r="G34" s="81"/>
      <c r="H34" s="81"/>
      <c r="I34" s="81"/>
      <c r="J34" s="81"/>
      <c r="K34" s="81"/>
      <c r="L34" s="82"/>
      <c r="M34" s="64"/>
      <c r="N34"/>
      <c r="O34"/>
      <c r="P34"/>
      <c r="Q34"/>
      <c r="R34"/>
      <c r="S34" s="74"/>
    </row>
    <row r="35" spans="2:40">
      <c r="M35" s="75"/>
      <c r="N35"/>
      <c r="O35"/>
      <c r="P35"/>
      <c r="Q35"/>
      <c r="R35"/>
      <c r="S35" s="74"/>
      <c r="U35" s="75"/>
      <c r="V35" s="75"/>
    </row>
    <row r="36" spans="2:40">
      <c r="M36"/>
      <c r="N36" s="75"/>
      <c r="O36" s="75"/>
      <c r="P36" s="75"/>
      <c r="Q36" s="75"/>
      <c r="R36" s="75"/>
      <c r="S36" s="75"/>
      <c r="T36" s="75"/>
    </row>
    <row r="37" spans="2:40">
      <c r="M37"/>
      <c r="N37"/>
      <c r="O37"/>
      <c r="P37"/>
      <c r="Q37"/>
      <c r="R37"/>
      <c r="S37" s="74"/>
    </row>
    <row r="38" spans="2:40">
      <c r="M38"/>
      <c r="N38"/>
      <c r="O38"/>
      <c r="P38"/>
      <c r="Q38"/>
      <c r="R38"/>
      <c r="S38" s="74"/>
    </row>
    <row r="39" spans="2:40">
      <c r="M39"/>
      <c r="N39"/>
      <c r="O39"/>
      <c r="P39"/>
      <c r="Q39"/>
      <c r="R39"/>
      <c r="S39" s="74"/>
    </row>
    <row r="40" spans="2:40">
      <c r="M40"/>
      <c r="N40"/>
      <c r="O40"/>
      <c r="P40"/>
      <c r="Q40"/>
      <c r="R40"/>
      <c r="S40" s="74"/>
    </row>
    <row r="41" spans="2:40" customFormat="1">
      <c r="B41" s="74"/>
      <c r="C41" s="74"/>
      <c r="D41" s="73"/>
      <c r="E41" s="73"/>
      <c r="F41" s="73"/>
      <c r="G41" s="73"/>
      <c r="H41" s="73"/>
      <c r="I41" s="73"/>
      <c r="J41" s="74"/>
      <c r="K41" s="74"/>
      <c r="L41" s="74"/>
      <c r="S41" s="74"/>
      <c r="Y41" s="2"/>
      <c r="Z41" s="74"/>
      <c r="AG41" s="74"/>
      <c r="AH41" s="74"/>
      <c r="AM41" s="74"/>
      <c r="AN41" s="74"/>
    </row>
    <row r="42" spans="2:40" customFormat="1">
      <c r="B42" s="74"/>
      <c r="C42" s="74"/>
      <c r="D42" s="73"/>
      <c r="E42" s="73"/>
      <c r="F42" s="73"/>
      <c r="G42" s="73"/>
      <c r="H42" s="73"/>
      <c r="I42" s="73"/>
      <c r="J42" s="74"/>
      <c r="K42" s="74"/>
      <c r="L42" s="74"/>
      <c r="M42" s="73"/>
      <c r="S42" s="74"/>
      <c r="Y42" s="2"/>
      <c r="Z42" s="74"/>
      <c r="AG42" s="74"/>
      <c r="AH42" s="74"/>
      <c r="AM42" s="74"/>
      <c r="AN42" s="74"/>
    </row>
  </sheetData>
  <sheetCalcPr fullCalcOnLoad="1"/>
  <sheetProtection sheet="1" objects="1" scenarios="1"/>
  <mergeCells count="8">
    <mergeCell ref="N8:N9"/>
    <mergeCell ref="P8:P9"/>
    <mergeCell ref="R8:R9"/>
    <mergeCell ref="T8:T9"/>
    <mergeCell ref="F8:F9"/>
    <mergeCell ref="H8:H9"/>
    <mergeCell ref="J8:J9"/>
    <mergeCell ref="L8:L9"/>
  </mergeCells>
  <phoneticPr fontId="116" type="noConversion"/>
  <pageMargins left="0.7" right="0.7" top="0.75" bottom="0.75" header="0.3" footer="0.3"/>
  <headerFooter>
    <oddFooter>&amp;L&amp;A&amp;C&amp;D&amp;R&amp;P of &amp;N</oddFooter>
  </headerFooter>
  <drawing r:id="rId1"/>
  <legacyDrawing r:id="rId2"/>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B1:M18"/>
  <sheetViews>
    <sheetView showGridLines="0" showRowColHeaders="0" workbookViewId="0">
      <selection activeCell="B8" sqref="B8"/>
    </sheetView>
  </sheetViews>
  <sheetFormatPr baseColWidth="10" defaultColWidth="8.83203125" defaultRowHeight="14"/>
  <cols>
    <col min="1" max="1" width="3.6640625" style="64" customWidth="1"/>
    <col min="2" max="2" width="41" style="64" customWidth="1"/>
    <col min="3" max="3" width="10.5" style="192" customWidth="1"/>
    <col min="4" max="4" width="15" style="68" bestFit="1" customWidth="1"/>
    <col min="5" max="5" width="11.5" style="68" customWidth="1"/>
    <col min="6" max="10" width="8.83203125" style="68"/>
    <col min="11" max="16384" width="8.83203125" style="64"/>
  </cols>
  <sheetData>
    <row r="1" spans="2:13" ht="28">
      <c r="B1" s="63" t="s">
        <v>223</v>
      </c>
      <c r="I1" s="65"/>
      <c r="J1" s="65"/>
      <c r="K1" s="65"/>
      <c r="L1" s="65"/>
      <c r="M1" s="65"/>
    </row>
    <row r="2" spans="2:13" ht="18.75" customHeight="1">
      <c r="B2" s="63"/>
      <c r="E2" s="920"/>
      <c r="F2" s="920"/>
      <c r="G2" s="920"/>
      <c r="H2" s="920"/>
      <c r="I2" s="920"/>
      <c r="J2" s="65"/>
      <c r="K2" s="65"/>
      <c r="L2" s="65"/>
      <c r="M2" s="65"/>
    </row>
    <row r="3" spans="2:13" ht="18.75" customHeight="1">
      <c r="B3" s="63"/>
      <c r="E3" s="360"/>
      <c r="F3" s="360"/>
      <c r="G3" s="360"/>
      <c r="H3" s="360"/>
      <c r="I3" s="360"/>
      <c r="J3" s="360"/>
      <c r="K3" s="360"/>
      <c r="L3" s="360"/>
      <c r="M3" s="360"/>
    </row>
    <row r="4" spans="2:13" ht="18.75" customHeight="1">
      <c r="B4" s="63"/>
      <c r="E4" s="360"/>
      <c r="F4" s="360"/>
      <c r="G4" s="360"/>
      <c r="H4" s="360"/>
      <c r="I4" s="360"/>
      <c r="J4" s="360"/>
      <c r="K4" s="360"/>
      <c r="L4" s="360"/>
      <c r="M4" s="360"/>
    </row>
    <row r="5" spans="2:13" ht="18.75" customHeight="1">
      <c r="B5" s="63"/>
      <c r="E5" s="360"/>
      <c r="F5" s="360"/>
      <c r="G5" s="360"/>
      <c r="H5" s="360"/>
      <c r="I5" s="360"/>
      <c r="J5" s="360"/>
      <c r="K5" s="360"/>
      <c r="L5" s="360"/>
      <c r="M5" s="360"/>
    </row>
    <row r="6" spans="2:13" ht="18.75" customHeight="1">
      <c r="B6" s="63"/>
      <c r="E6" s="360"/>
      <c r="F6" s="360"/>
      <c r="G6" s="360"/>
      <c r="H6" s="360"/>
      <c r="I6" s="360"/>
      <c r="J6" s="360"/>
      <c r="K6" s="360"/>
      <c r="L6" s="360"/>
      <c r="M6" s="360"/>
    </row>
    <row r="7" spans="2:13" s="67" customFormat="1" ht="21" customHeight="1">
      <c r="B7" s="489" t="s">
        <v>389</v>
      </c>
      <c r="C7" s="490" t="s">
        <v>11</v>
      </c>
      <c r="D7" s="101"/>
      <c r="E7" s="65"/>
      <c r="F7" s="65"/>
      <c r="G7" s="65"/>
      <c r="H7" s="65"/>
      <c r="I7" s="65"/>
      <c r="J7" s="95"/>
    </row>
    <row r="8" spans="2:13">
      <c r="B8" s="176"/>
      <c r="C8" s="189"/>
      <c r="D8" s="88"/>
      <c r="E8" s="197"/>
      <c r="F8" s="197"/>
      <c r="G8" s="197"/>
      <c r="H8" s="197"/>
      <c r="I8" s="197"/>
      <c r="J8" s="196"/>
    </row>
    <row r="9" spans="2:13">
      <c r="B9" s="176"/>
      <c r="C9" s="189"/>
      <c r="D9" s="88"/>
      <c r="E9" s="197"/>
      <c r="F9" s="197"/>
      <c r="G9" s="197"/>
      <c r="H9" s="197"/>
      <c r="I9" s="197"/>
      <c r="J9" s="196"/>
    </row>
    <row r="10" spans="2:13">
      <c r="B10" s="176"/>
      <c r="C10" s="189"/>
      <c r="D10" s="88"/>
      <c r="E10" s="197"/>
      <c r="F10" s="197"/>
      <c r="G10" s="197"/>
      <c r="H10" s="197"/>
      <c r="I10" s="197"/>
      <c r="J10" s="196"/>
    </row>
    <row r="11" spans="2:13">
      <c r="B11" s="176"/>
      <c r="C11" s="189"/>
      <c r="D11" s="88"/>
      <c r="E11" s="197"/>
      <c r="F11" s="197"/>
      <c r="G11" s="197"/>
      <c r="H11" s="197"/>
      <c r="I11" s="197"/>
      <c r="J11" s="196"/>
    </row>
    <row r="12" spans="2:13">
      <c r="B12" s="176"/>
      <c r="C12" s="189"/>
      <c r="D12" s="88"/>
      <c r="E12" s="197"/>
      <c r="F12" s="197"/>
      <c r="G12" s="197"/>
      <c r="H12" s="197"/>
      <c r="I12" s="197"/>
      <c r="J12" s="196"/>
    </row>
    <row r="13" spans="2:13">
      <c r="B13" s="176"/>
      <c r="C13" s="189"/>
      <c r="D13" s="88"/>
      <c r="E13" s="197"/>
      <c r="F13" s="197"/>
      <c r="G13" s="197"/>
      <c r="H13" s="197"/>
      <c r="I13" s="197"/>
      <c r="J13" s="196"/>
    </row>
    <row r="14" spans="2:13">
      <c r="B14" s="176"/>
      <c r="C14" s="189"/>
      <c r="D14" s="88"/>
      <c r="E14" s="197"/>
      <c r="F14" s="197"/>
      <c r="G14" s="197"/>
      <c r="H14" s="197"/>
      <c r="I14" s="197"/>
      <c r="J14" s="196"/>
    </row>
    <row r="15" spans="2:13">
      <c r="B15" s="176"/>
      <c r="C15" s="176"/>
      <c r="D15" s="88"/>
      <c r="E15" s="197"/>
      <c r="F15" s="197"/>
      <c r="G15" s="197"/>
      <c r="H15" s="197"/>
      <c r="I15" s="197"/>
      <c r="J15" s="196"/>
    </row>
    <row r="16" spans="2:13" s="68" customFormat="1">
      <c r="B16" s="95" t="s">
        <v>222</v>
      </c>
      <c r="C16" s="195">
        <f>SUM(C8:C15)</f>
        <v>0</v>
      </c>
      <c r="D16" s="88"/>
      <c r="E16" s="69"/>
      <c r="F16" s="69"/>
      <c r="G16" s="69"/>
      <c r="H16" s="69"/>
      <c r="I16" s="69"/>
      <c r="J16" s="193"/>
    </row>
    <row r="17" spans="2:10" s="68" customFormat="1">
      <c r="B17" s="95"/>
      <c r="C17" s="195"/>
      <c r="D17" s="194"/>
      <c r="E17" s="69"/>
      <c r="F17" s="69"/>
      <c r="G17" s="69"/>
      <c r="H17" s="69"/>
      <c r="I17" s="69"/>
      <c r="J17" s="193"/>
    </row>
    <row r="18" spans="2:10" s="68" customFormat="1">
      <c r="B18" s="95"/>
      <c r="C18" s="195"/>
      <c r="D18" s="194"/>
      <c r="E18" s="69"/>
      <c r="F18" s="69"/>
      <c r="G18" s="69"/>
      <c r="H18" s="69"/>
      <c r="I18" s="69"/>
      <c r="J18" s="193"/>
    </row>
  </sheetData>
  <sheetCalcPr fullCalcOnLoad="1"/>
  <sheetProtection sheet="1" objects="1" scenarios="1"/>
  <mergeCells count="1">
    <mergeCell ref="E2:I2"/>
  </mergeCells>
  <pageMargins left="0.7" right="0.7" top="0.75" bottom="0.75" header="0.3" footer="0.3"/>
  <headerFooter>
    <oddFooter>&amp;L&amp;A&amp;C&amp;D&amp;R&amp;P of &amp;N</oddFooter>
  </headerFooter>
  <drawing r:id="rId1"/>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AR133"/>
  <sheetViews>
    <sheetView showGridLines="0" showRowColHeaders="0" workbookViewId="0">
      <selection activeCell="B39" sqref="B39"/>
    </sheetView>
  </sheetViews>
  <sheetFormatPr baseColWidth="10" defaultColWidth="8.83203125" defaultRowHeight="14"/>
  <cols>
    <col min="1" max="1" width="3.6640625" style="64" customWidth="1"/>
    <col min="2" max="2" width="41.6640625" style="64" customWidth="1"/>
    <col min="3" max="3" width="10.5" style="71" customWidth="1"/>
    <col min="4" max="4" width="15.1640625" style="64" bestFit="1" customWidth="1"/>
    <col min="5" max="5" width="11.5" style="64" customWidth="1"/>
    <col min="6" max="8" width="11.1640625" style="64" bestFit="1" customWidth="1"/>
    <col min="9" max="9" width="10.5" style="64" customWidth="1"/>
    <col min="10" max="10" width="11.1640625" style="64" bestFit="1" customWidth="1"/>
    <col min="11" max="12" width="8.83203125" style="64"/>
    <col min="13" max="22" width="9.1640625" style="64" customWidth="1"/>
    <col min="23" max="32" width="8.83203125" style="64"/>
    <col min="33" max="33" width="8.83203125" style="615"/>
    <col min="34" max="34" width="8.83203125" style="68"/>
    <col min="35" max="16384" width="8.83203125" style="64"/>
  </cols>
  <sheetData>
    <row r="1" spans="2:44" ht="28">
      <c r="B1" s="63"/>
      <c r="I1" s="65"/>
      <c r="J1" s="65"/>
      <c r="K1" s="65"/>
      <c r="L1" s="65"/>
      <c r="M1" s="65"/>
    </row>
    <row r="2" spans="2:44" ht="28">
      <c r="B2" s="63"/>
      <c r="I2" s="360"/>
      <c r="J2" s="360"/>
      <c r="K2" s="360"/>
      <c r="L2" s="360"/>
      <c r="M2" s="360"/>
    </row>
    <row r="3" spans="2:44" ht="28">
      <c r="B3" s="63"/>
      <c r="I3" s="360"/>
      <c r="J3" s="360"/>
      <c r="K3" s="360"/>
      <c r="L3" s="360"/>
      <c r="M3" s="360"/>
    </row>
    <row r="4" spans="2:44" ht="28">
      <c r="B4" s="63"/>
      <c r="I4" s="360"/>
      <c r="J4" s="360"/>
      <c r="K4" s="360"/>
      <c r="L4" s="360"/>
      <c r="M4" s="360"/>
    </row>
    <row r="5" spans="2:44" ht="28">
      <c r="B5" s="63"/>
      <c r="I5" s="368"/>
      <c r="J5" s="368"/>
      <c r="K5" s="368"/>
      <c r="L5" s="368"/>
      <c r="M5" s="368"/>
    </row>
    <row r="6" spans="2:44" ht="28">
      <c r="B6" s="63"/>
      <c r="I6" s="360"/>
      <c r="J6" s="360"/>
      <c r="K6" s="360"/>
      <c r="L6" s="360"/>
      <c r="M6" s="360"/>
    </row>
    <row r="7" spans="2:44" ht="36.75" customHeight="1">
      <c r="B7" s="63"/>
      <c r="I7" s="360"/>
      <c r="J7" s="360"/>
      <c r="K7" s="360"/>
      <c r="L7" s="360"/>
      <c r="M7" s="360"/>
    </row>
    <row r="8" spans="2:44" ht="18.75" customHeight="1">
      <c r="B8" s="63"/>
      <c r="E8" s="921" t="s">
        <v>557</v>
      </c>
      <c r="F8" s="921"/>
      <c r="G8" s="921"/>
      <c r="H8" s="921"/>
      <c r="I8" s="921"/>
      <c r="J8" s="921"/>
      <c r="K8" s="516"/>
      <c r="L8" s="516"/>
      <c r="M8" s="516"/>
      <c r="X8" s="64" t="str">
        <f>B9</f>
        <v>SALT &amp; MINERAL</v>
      </c>
    </row>
    <row r="9" spans="2:44" s="67" customFormat="1" ht="24" customHeight="1">
      <c r="B9" s="489" t="s">
        <v>109</v>
      </c>
      <c r="C9" s="508" t="s">
        <v>11</v>
      </c>
      <c r="D9" s="509" t="s">
        <v>391</v>
      </c>
      <c r="E9" s="492" t="str">
        <f>IF('About My Ranch'!$D$6="X","Cow-Calf","")</f>
        <v>Cow-Calf</v>
      </c>
      <c r="F9" s="492" t="str">
        <f>IF('About My Ranch'!$D$7="X","Repl Hfr","")</f>
        <v/>
      </c>
      <c r="G9" s="492" t="str">
        <f>IF('About My Ranch'!$D$9="X","Bckgrdr","")</f>
        <v/>
      </c>
      <c r="H9" s="492" t="str">
        <f>IF('About My Ranch'!$D$10="X","Grasser","")</f>
        <v/>
      </c>
      <c r="I9" s="492" t="str">
        <f>IF('About My Ranch'!$D$11="x","Finisher","")</f>
        <v/>
      </c>
      <c r="J9" s="610" t="str">
        <f>IF('About My Ranch'!$D$8="x","Ranch-Raised Bull","")</f>
        <v/>
      </c>
      <c r="K9" s="515"/>
      <c r="L9" s="515"/>
      <c r="M9" s="515"/>
      <c r="X9" s="102" t="str">
        <f>E9</f>
        <v>Cow-Calf</v>
      </c>
      <c r="Y9" s="102" t="str">
        <f t="shared" ref="Y9:AG9" si="0">F9</f>
        <v/>
      </c>
      <c r="Z9" s="102" t="str">
        <f t="shared" si="0"/>
        <v/>
      </c>
      <c r="AA9" s="102" t="str">
        <f t="shared" si="0"/>
        <v/>
      </c>
      <c r="AB9" s="102" t="str">
        <f t="shared" si="0"/>
        <v/>
      </c>
      <c r="AC9" s="102" t="str">
        <f t="shared" si="0"/>
        <v/>
      </c>
      <c r="AD9" s="102">
        <f t="shared" si="0"/>
        <v>0</v>
      </c>
      <c r="AE9" s="102">
        <f t="shared" si="0"/>
        <v>0</v>
      </c>
      <c r="AF9" s="102">
        <f t="shared" si="0"/>
        <v>0</v>
      </c>
      <c r="AG9" s="102">
        <f t="shared" si="0"/>
        <v>0</v>
      </c>
      <c r="AH9" s="95"/>
      <c r="AI9" s="612" t="str">
        <f>E9</f>
        <v>Cow-Calf</v>
      </c>
      <c r="AJ9" s="102" t="str">
        <f t="shared" ref="AJ9:AO9" si="1">F9</f>
        <v/>
      </c>
      <c r="AK9" s="102" t="str">
        <f t="shared" si="1"/>
        <v/>
      </c>
      <c r="AL9" s="102" t="str">
        <f t="shared" si="1"/>
        <v/>
      </c>
      <c r="AM9" s="102" t="str">
        <f t="shared" si="1"/>
        <v/>
      </c>
      <c r="AN9" s="102" t="str">
        <f t="shared" si="1"/>
        <v/>
      </c>
      <c r="AO9" s="102">
        <f t="shared" si="1"/>
        <v>0</v>
      </c>
      <c r="AP9" s="102">
        <f>L9</f>
        <v>0</v>
      </c>
      <c r="AQ9" s="620">
        <f>M9</f>
        <v>0</v>
      </c>
      <c r="AR9" s="620">
        <f>N9</f>
        <v>0</v>
      </c>
    </row>
    <row r="10" spans="2:44" ht="18" customHeight="1">
      <c r="B10" s="176" t="s">
        <v>203</v>
      </c>
      <c r="C10" s="180"/>
      <c r="D10" s="70">
        <f>SUM(E10:M10)</f>
        <v>0</v>
      </c>
      <c r="E10" s="179"/>
      <c r="F10" s="179"/>
      <c r="G10" s="179"/>
      <c r="H10" s="179"/>
      <c r="I10" s="179"/>
      <c r="J10" s="179"/>
      <c r="K10" s="197"/>
      <c r="L10" s="197"/>
      <c r="M10" s="197"/>
      <c r="X10" s="70" t="e">
        <f>E10/$D10</f>
        <v>#DIV/0!</v>
      </c>
      <c r="Y10" s="70" t="e">
        <f t="shared" ref="Y10:AG10" si="2">F10/$D10</f>
        <v>#DIV/0!</v>
      </c>
      <c r="Z10" s="70" t="e">
        <f t="shared" si="2"/>
        <v>#DIV/0!</v>
      </c>
      <c r="AA10" s="70" t="e">
        <f t="shared" si="2"/>
        <v>#DIV/0!</v>
      </c>
      <c r="AB10" s="70" t="e">
        <f t="shared" si="2"/>
        <v>#DIV/0!</v>
      </c>
      <c r="AC10" s="70" t="e">
        <f t="shared" si="2"/>
        <v>#DIV/0!</v>
      </c>
      <c r="AD10" s="70" t="e">
        <f t="shared" si="2"/>
        <v>#DIV/0!</v>
      </c>
      <c r="AE10" s="70" t="e">
        <f t="shared" si="2"/>
        <v>#DIV/0!</v>
      </c>
      <c r="AF10" s="70" t="e">
        <f t="shared" si="2"/>
        <v>#DIV/0!</v>
      </c>
      <c r="AG10" s="70" t="e">
        <f t="shared" si="2"/>
        <v>#DIV/0!</v>
      </c>
      <c r="AI10" s="613" t="e">
        <f>X10*$C10</f>
        <v>#DIV/0!</v>
      </c>
      <c r="AJ10" s="92" t="e">
        <f t="shared" ref="AJ10:AR10" si="3">Y10*$C10</f>
        <v>#DIV/0!</v>
      </c>
      <c r="AK10" s="92" t="e">
        <f t="shared" si="3"/>
        <v>#DIV/0!</v>
      </c>
      <c r="AL10" s="92" t="e">
        <f t="shared" si="3"/>
        <v>#DIV/0!</v>
      </c>
      <c r="AM10" s="92" t="e">
        <f t="shared" si="3"/>
        <v>#DIV/0!</v>
      </c>
      <c r="AN10" s="92" t="e">
        <f t="shared" si="3"/>
        <v>#DIV/0!</v>
      </c>
      <c r="AO10" s="92" t="e">
        <f t="shared" si="3"/>
        <v>#DIV/0!</v>
      </c>
      <c r="AP10" s="92" t="e">
        <f t="shared" si="3"/>
        <v>#DIV/0!</v>
      </c>
      <c r="AQ10" s="621" t="e">
        <f t="shared" si="3"/>
        <v>#DIV/0!</v>
      </c>
      <c r="AR10" s="621" t="e">
        <f t="shared" si="3"/>
        <v>#DIV/0!</v>
      </c>
    </row>
    <row r="11" spans="2:44" ht="18" customHeight="1">
      <c r="B11" s="176" t="s">
        <v>204</v>
      </c>
      <c r="C11" s="180"/>
      <c r="D11" s="70">
        <f>SUM(E11:M11)</f>
        <v>100</v>
      </c>
      <c r="E11" s="179">
        <v>100</v>
      </c>
      <c r="F11" s="179"/>
      <c r="G11" s="179"/>
      <c r="H11" s="179"/>
      <c r="I11" s="179"/>
      <c r="J11" s="179"/>
      <c r="K11" s="197"/>
      <c r="L11" s="197"/>
      <c r="M11" s="197"/>
      <c r="X11" s="70">
        <f>E11/$D11</f>
        <v>1</v>
      </c>
      <c r="Y11" s="70">
        <f t="shared" ref="Y11:AG12" si="4">F11/$D11</f>
        <v>0</v>
      </c>
      <c r="Z11" s="70">
        <f t="shared" si="4"/>
        <v>0</v>
      </c>
      <c r="AA11" s="70">
        <f t="shared" si="4"/>
        <v>0</v>
      </c>
      <c r="AB11" s="70">
        <f t="shared" si="4"/>
        <v>0</v>
      </c>
      <c r="AC11" s="70">
        <f t="shared" si="4"/>
        <v>0</v>
      </c>
      <c r="AD11" s="70">
        <f t="shared" si="4"/>
        <v>0</v>
      </c>
      <c r="AE11" s="70">
        <f t="shared" si="4"/>
        <v>0</v>
      </c>
      <c r="AF11" s="70">
        <f t="shared" si="4"/>
        <v>0</v>
      </c>
      <c r="AG11" s="70">
        <f t="shared" si="4"/>
        <v>0</v>
      </c>
      <c r="AI11" s="613">
        <f>X11*$C11</f>
        <v>0</v>
      </c>
      <c r="AJ11" s="92">
        <f t="shared" ref="AJ11:AR12" si="5">Y11*$C11</f>
        <v>0</v>
      </c>
      <c r="AK11" s="92">
        <f t="shared" si="5"/>
        <v>0</v>
      </c>
      <c r="AL11" s="92">
        <f t="shared" si="5"/>
        <v>0</v>
      </c>
      <c r="AM11" s="92">
        <f t="shared" si="5"/>
        <v>0</v>
      </c>
      <c r="AN11" s="92">
        <f t="shared" si="5"/>
        <v>0</v>
      </c>
      <c r="AO11" s="92">
        <f t="shared" si="5"/>
        <v>0</v>
      </c>
      <c r="AP11" s="92">
        <f t="shared" si="5"/>
        <v>0</v>
      </c>
      <c r="AQ11" s="621">
        <f t="shared" si="5"/>
        <v>0</v>
      </c>
      <c r="AR11" s="621">
        <f t="shared" si="5"/>
        <v>0</v>
      </c>
    </row>
    <row r="12" spans="2:44" ht="18" customHeight="1">
      <c r="B12" s="176"/>
      <c r="C12" s="180"/>
      <c r="D12" s="70">
        <f>SUM(E12:M12)</f>
        <v>100</v>
      </c>
      <c r="E12" s="179">
        <v>100</v>
      </c>
      <c r="F12" s="179"/>
      <c r="G12" s="179"/>
      <c r="H12" s="179"/>
      <c r="I12" s="179"/>
      <c r="J12" s="179"/>
      <c r="K12" s="197"/>
      <c r="L12" s="197"/>
      <c r="M12" s="197"/>
      <c r="X12" s="70">
        <f>E12/$D12</f>
        <v>1</v>
      </c>
      <c r="Y12" s="70">
        <f t="shared" si="4"/>
        <v>0</v>
      </c>
      <c r="Z12" s="70">
        <f t="shared" si="4"/>
        <v>0</v>
      </c>
      <c r="AA12" s="70">
        <f t="shared" si="4"/>
        <v>0</v>
      </c>
      <c r="AB12" s="70">
        <f t="shared" si="4"/>
        <v>0</v>
      </c>
      <c r="AC12" s="70">
        <f t="shared" si="4"/>
        <v>0</v>
      </c>
      <c r="AD12" s="70">
        <f t="shared" si="4"/>
        <v>0</v>
      </c>
      <c r="AE12" s="70">
        <f t="shared" si="4"/>
        <v>0</v>
      </c>
      <c r="AF12" s="70">
        <f t="shared" si="4"/>
        <v>0</v>
      </c>
      <c r="AG12" s="70">
        <f t="shared" si="4"/>
        <v>0</v>
      </c>
      <c r="AI12" s="613">
        <f>X12*$C12</f>
        <v>0</v>
      </c>
      <c r="AJ12" s="92">
        <f t="shared" si="5"/>
        <v>0</v>
      </c>
      <c r="AK12" s="92">
        <f t="shared" si="5"/>
        <v>0</v>
      </c>
      <c r="AL12" s="92">
        <f t="shared" si="5"/>
        <v>0</v>
      </c>
      <c r="AM12" s="92">
        <f t="shared" si="5"/>
        <v>0</v>
      </c>
      <c r="AN12" s="92">
        <f t="shared" si="5"/>
        <v>0</v>
      </c>
      <c r="AO12" s="92">
        <f t="shared" si="5"/>
        <v>0</v>
      </c>
      <c r="AP12" s="92">
        <f t="shared" si="5"/>
        <v>0</v>
      </c>
      <c r="AQ12" s="621">
        <f t="shared" si="5"/>
        <v>0</v>
      </c>
      <c r="AR12" s="621">
        <f t="shared" si="5"/>
        <v>0</v>
      </c>
    </row>
    <row r="13" spans="2:44" s="68" customFormat="1">
      <c r="B13" s="95" t="s">
        <v>110</v>
      </c>
      <c r="C13" s="69">
        <f>SUM(C10:C12)</f>
        <v>0</v>
      </c>
      <c r="D13" s="88"/>
      <c r="E13" s="69" t="e">
        <f t="shared" ref="E13:J13" si="6">AI13</f>
        <v>#DIV/0!</v>
      </c>
      <c r="F13" s="69" t="e">
        <f t="shared" si="6"/>
        <v>#DIV/0!</v>
      </c>
      <c r="G13" s="69" t="e">
        <f t="shared" si="6"/>
        <v>#DIV/0!</v>
      </c>
      <c r="H13" s="69" t="e">
        <f t="shared" si="6"/>
        <v>#DIV/0!</v>
      </c>
      <c r="I13" s="69" t="e">
        <f t="shared" si="6"/>
        <v>#DIV/0!</v>
      </c>
      <c r="J13" s="69" t="e">
        <f t="shared" si="6"/>
        <v>#DIV/0!</v>
      </c>
      <c r="K13" s="69"/>
      <c r="L13" s="69"/>
      <c r="M13" s="69"/>
      <c r="AI13" s="512" t="e">
        <f>SUM(AI10:AI12)</f>
        <v>#DIV/0!</v>
      </c>
      <c r="AJ13" s="512" t="e">
        <f t="shared" ref="AJ13:AQ13" si="7">SUM(AJ10:AJ12)</f>
        <v>#DIV/0!</v>
      </c>
      <c r="AK13" s="512" t="e">
        <f t="shared" si="7"/>
        <v>#DIV/0!</v>
      </c>
      <c r="AL13" s="512" t="e">
        <f t="shared" si="7"/>
        <v>#DIV/0!</v>
      </c>
      <c r="AM13" s="512" t="e">
        <f t="shared" si="7"/>
        <v>#DIV/0!</v>
      </c>
      <c r="AN13" s="512" t="e">
        <f t="shared" si="7"/>
        <v>#DIV/0!</v>
      </c>
      <c r="AO13" s="512" t="e">
        <f t="shared" si="7"/>
        <v>#DIV/0!</v>
      </c>
      <c r="AP13" s="512" t="e">
        <f t="shared" si="7"/>
        <v>#DIV/0!</v>
      </c>
      <c r="AQ13" s="622" t="e">
        <f t="shared" si="7"/>
        <v>#DIV/0!</v>
      </c>
      <c r="AR13" s="622" t="e">
        <f>SUM(AR10:AR12)</f>
        <v>#DIV/0!</v>
      </c>
    </row>
    <row r="14" spans="2:44" s="68" customFormat="1">
      <c r="B14" s="95"/>
      <c r="C14" s="69"/>
      <c r="D14" s="97" t="s">
        <v>41</v>
      </c>
      <c r="E14" s="98" t="e">
        <f>E13/('1. Cow-Calf_InputForm'!$H$25+'1. Cow-Calf_InputForm'!$H$27)</f>
        <v>#DIV/0!</v>
      </c>
      <c r="F14" s="98" t="e">
        <f>F13/('2a. Replacement_InputForm'!$D$13+'2a. Replacement_InputForm'!$F$13)</f>
        <v>#DIV/0!</v>
      </c>
      <c r="G14" s="818" t="e">
        <f>G13/('3. Backgrounder_InputForm'!$D$13+'3. Backgrounder_InputForm'!$F$13)</f>
        <v>#DIV/0!</v>
      </c>
      <c r="H14" s="818" t="e">
        <f>H13/('4. Grasser_InputForm'!$D$13+'4. Grasser_InputForm'!$F$13)</f>
        <v>#DIV/0!</v>
      </c>
      <c r="I14" s="818" t="e">
        <f>I13/('5. Finisher_InputForm'!$D$12+'5. Finisher_InputForm'!$F$12+'5. Finisher_InputForm'!$H$12)</f>
        <v>#DIV/0!</v>
      </c>
      <c r="J14" s="819" t="e">
        <f>J13/'2b. HomeRaisedBulls_InputForm'!$D$13</f>
        <v>#DIV/0!</v>
      </c>
      <c r="AQ14" s="616"/>
      <c r="AR14" s="616"/>
    </row>
    <row r="15" spans="2:44" s="68" customFormat="1" ht="21" customHeight="1">
      <c r="B15" s="95"/>
      <c r="C15" s="69"/>
      <c r="D15" s="97"/>
      <c r="E15" s="98"/>
      <c r="F15" s="98"/>
      <c r="G15" s="98"/>
      <c r="H15" s="98"/>
      <c r="I15" s="98"/>
      <c r="J15" s="96"/>
      <c r="AQ15" s="616"/>
      <c r="AR15" s="616"/>
    </row>
    <row r="16" spans="2:44" ht="18.75" customHeight="1">
      <c r="B16" s="63"/>
      <c r="E16" s="922" t="s">
        <v>557</v>
      </c>
      <c r="F16" s="922"/>
      <c r="G16" s="922"/>
      <c r="H16" s="922"/>
      <c r="I16" s="922"/>
      <c r="J16" s="922"/>
      <c r="K16" s="516"/>
      <c r="L16" s="516"/>
      <c r="M16" s="516"/>
      <c r="X16" s="64" t="str">
        <f>B17</f>
        <v>VET &amp; MEDICINE</v>
      </c>
      <c r="AG16" s="64"/>
      <c r="AQ16" s="615"/>
      <c r="AR16" s="615"/>
    </row>
    <row r="17" spans="2:44" s="67" customFormat="1" ht="24.75" customHeight="1">
      <c r="B17" s="489" t="s">
        <v>96</v>
      </c>
      <c r="C17" s="508" t="s">
        <v>11</v>
      </c>
      <c r="D17" s="509" t="s">
        <v>391</v>
      </c>
      <c r="E17" s="492" t="str">
        <f>IF('About My Ranch'!$D$6="X","Cow-Calf","")</f>
        <v>Cow-Calf</v>
      </c>
      <c r="F17" s="492" t="str">
        <f>IF('About My Ranch'!$D$7="X","Repl Hfr","")</f>
        <v/>
      </c>
      <c r="G17" s="492" t="str">
        <f>IF('About My Ranch'!$D$9="X","Bckgrdr","")</f>
        <v/>
      </c>
      <c r="H17" s="513" t="str">
        <f>IF('About My Ranch'!$D$10="X","Grasser","")</f>
        <v/>
      </c>
      <c r="I17" s="492" t="str">
        <f>IF('About My Ranch'!$D$11="x","Finisher","")</f>
        <v/>
      </c>
      <c r="J17" s="610" t="str">
        <f>IF('About My Ranch'!$D$8="x","Ranch-Raised Bull","")</f>
        <v/>
      </c>
      <c r="K17" s="515"/>
      <c r="L17" s="515"/>
      <c r="M17" s="515"/>
      <c r="X17" s="102" t="str">
        <f t="shared" ref="X17:AG17" si="8">E17</f>
        <v>Cow-Calf</v>
      </c>
      <c r="Y17" s="102" t="str">
        <f t="shared" si="8"/>
        <v/>
      </c>
      <c r="Z17" s="102" t="str">
        <f t="shared" si="8"/>
        <v/>
      </c>
      <c r="AA17" s="102" t="str">
        <f t="shared" si="8"/>
        <v/>
      </c>
      <c r="AB17" s="102" t="str">
        <f t="shared" si="8"/>
        <v/>
      </c>
      <c r="AC17" s="102" t="str">
        <f t="shared" si="8"/>
        <v/>
      </c>
      <c r="AD17" s="102">
        <f t="shared" si="8"/>
        <v>0</v>
      </c>
      <c r="AE17" s="102">
        <f t="shared" si="8"/>
        <v>0</v>
      </c>
      <c r="AF17" s="102">
        <f t="shared" si="8"/>
        <v>0</v>
      </c>
      <c r="AG17" s="102">
        <f t="shared" si="8"/>
        <v>0</v>
      </c>
      <c r="AH17" s="95"/>
      <c r="AI17" s="612" t="str">
        <f t="shared" ref="AI17:AR17" si="9">E17</f>
        <v>Cow-Calf</v>
      </c>
      <c r="AJ17" s="102" t="str">
        <f t="shared" si="9"/>
        <v/>
      </c>
      <c r="AK17" s="102" t="str">
        <f t="shared" si="9"/>
        <v/>
      </c>
      <c r="AL17" s="102" t="str">
        <f t="shared" si="9"/>
        <v/>
      </c>
      <c r="AM17" s="102" t="str">
        <f t="shared" si="9"/>
        <v/>
      </c>
      <c r="AN17" s="102" t="str">
        <f t="shared" si="9"/>
        <v/>
      </c>
      <c r="AO17" s="102">
        <f t="shared" si="9"/>
        <v>0</v>
      </c>
      <c r="AP17" s="102">
        <f t="shared" si="9"/>
        <v>0</v>
      </c>
      <c r="AQ17" s="620">
        <f t="shared" si="9"/>
        <v>0</v>
      </c>
      <c r="AR17" s="620">
        <f t="shared" si="9"/>
        <v>0</v>
      </c>
    </row>
    <row r="18" spans="2:44" ht="18" customHeight="1">
      <c r="B18" s="176" t="s">
        <v>111</v>
      </c>
      <c r="C18" s="180"/>
      <c r="D18" s="70">
        <f>SUM(E18:I18)</f>
        <v>0</v>
      </c>
      <c r="E18" s="179"/>
      <c r="F18" s="179"/>
      <c r="G18" s="179"/>
      <c r="H18" s="514"/>
      <c r="I18" s="179"/>
      <c r="J18" s="179"/>
      <c r="K18" s="197"/>
      <c r="L18" s="197"/>
      <c r="M18" s="197"/>
      <c r="X18" s="70" t="e">
        <f>E18/$D18</f>
        <v>#DIV/0!</v>
      </c>
      <c r="Y18" s="70" t="e">
        <f t="shared" ref="Y18:AG18" si="10">F18/$D18</f>
        <v>#DIV/0!</v>
      </c>
      <c r="Z18" s="70" t="e">
        <f t="shared" si="10"/>
        <v>#DIV/0!</v>
      </c>
      <c r="AA18" s="70" t="e">
        <f t="shared" si="10"/>
        <v>#DIV/0!</v>
      </c>
      <c r="AB18" s="70" t="e">
        <f t="shared" si="10"/>
        <v>#DIV/0!</v>
      </c>
      <c r="AC18" s="70" t="e">
        <f t="shared" si="10"/>
        <v>#DIV/0!</v>
      </c>
      <c r="AD18" s="70" t="e">
        <f t="shared" si="10"/>
        <v>#DIV/0!</v>
      </c>
      <c r="AE18" s="70" t="e">
        <f t="shared" si="10"/>
        <v>#DIV/0!</v>
      </c>
      <c r="AF18" s="70" t="e">
        <f t="shared" si="10"/>
        <v>#DIV/0!</v>
      </c>
      <c r="AG18" s="70" t="e">
        <f t="shared" si="10"/>
        <v>#DIV/0!</v>
      </c>
      <c r="AI18" s="613" t="e">
        <f>X18*$C18</f>
        <v>#DIV/0!</v>
      </c>
      <c r="AJ18" s="92" t="e">
        <f t="shared" ref="AJ18:AR20" si="11">Y18*$C18</f>
        <v>#DIV/0!</v>
      </c>
      <c r="AK18" s="92" t="e">
        <f t="shared" si="11"/>
        <v>#DIV/0!</v>
      </c>
      <c r="AL18" s="92" t="e">
        <f t="shared" si="11"/>
        <v>#DIV/0!</v>
      </c>
      <c r="AM18" s="92" t="e">
        <f t="shared" si="11"/>
        <v>#DIV/0!</v>
      </c>
      <c r="AN18" s="92" t="e">
        <f t="shared" si="11"/>
        <v>#DIV/0!</v>
      </c>
      <c r="AO18" s="92" t="e">
        <f t="shared" si="11"/>
        <v>#DIV/0!</v>
      </c>
      <c r="AP18" s="92" t="e">
        <f t="shared" si="11"/>
        <v>#DIV/0!</v>
      </c>
      <c r="AQ18" s="621" t="e">
        <f t="shared" si="11"/>
        <v>#DIV/0!</v>
      </c>
      <c r="AR18" s="621" t="e">
        <f t="shared" si="11"/>
        <v>#DIV/0!</v>
      </c>
    </row>
    <row r="19" spans="2:44" ht="18" customHeight="1">
      <c r="B19" s="176" t="s">
        <v>600</v>
      </c>
      <c r="C19" s="180"/>
      <c r="D19" s="70">
        <f>SUM(E19:I19)</f>
        <v>0</v>
      </c>
      <c r="E19" s="179"/>
      <c r="F19" s="179"/>
      <c r="G19" s="179"/>
      <c r="H19" s="514"/>
      <c r="I19" s="179"/>
      <c r="J19" s="179"/>
      <c r="K19" s="197"/>
      <c r="L19" s="197"/>
      <c r="M19" s="197"/>
      <c r="X19" s="70" t="e">
        <f>E19/$D19</f>
        <v>#DIV/0!</v>
      </c>
      <c r="Y19" s="70" t="e">
        <f t="shared" ref="Y19:AG20" si="12">F19/$D19</f>
        <v>#DIV/0!</v>
      </c>
      <c r="Z19" s="70" t="e">
        <f t="shared" si="12"/>
        <v>#DIV/0!</v>
      </c>
      <c r="AA19" s="70" t="e">
        <f t="shared" si="12"/>
        <v>#DIV/0!</v>
      </c>
      <c r="AB19" s="70" t="e">
        <f t="shared" si="12"/>
        <v>#DIV/0!</v>
      </c>
      <c r="AC19" s="70" t="e">
        <f t="shared" si="12"/>
        <v>#DIV/0!</v>
      </c>
      <c r="AD19" s="70" t="e">
        <f t="shared" si="12"/>
        <v>#DIV/0!</v>
      </c>
      <c r="AE19" s="70" t="e">
        <f t="shared" si="12"/>
        <v>#DIV/0!</v>
      </c>
      <c r="AF19" s="70" t="e">
        <f t="shared" si="12"/>
        <v>#DIV/0!</v>
      </c>
      <c r="AG19" s="70" t="e">
        <f t="shared" si="12"/>
        <v>#DIV/0!</v>
      </c>
      <c r="AI19" s="613" t="e">
        <f>X19*$C19</f>
        <v>#DIV/0!</v>
      </c>
      <c r="AJ19" s="92" t="e">
        <f t="shared" si="11"/>
        <v>#DIV/0!</v>
      </c>
      <c r="AK19" s="92" t="e">
        <f t="shared" si="11"/>
        <v>#DIV/0!</v>
      </c>
      <c r="AL19" s="92" t="e">
        <f t="shared" si="11"/>
        <v>#DIV/0!</v>
      </c>
      <c r="AM19" s="92" t="e">
        <f t="shared" si="11"/>
        <v>#DIV/0!</v>
      </c>
      <c r="AN19" s="92" t="e">
        <f t="shared" si="11"/>
        <v>#DIV/0!</v>
      </c>
      <c r="AO19" s="92" t="e">
        <f t="shared" si="11"/>
        <v>#DIV/0!</v>
      </c>
      <c r="AP19" s="92" t="e">
        <f t="shared" si="11"/>
        <v>#DIV/0!</v>
      </c>
      <c r="AQ19" s="621" t="e">
        <f t="shared" si="11"/>
        <v>#DIV/0!</v>
      </c>
      <c r="AR19" s="621" t="e">
        <f t="shared" si="11"/>
        <v>#DIV/0!</v>
      </c>
    </row>
    <row r="20" spans="2:44" ht="18" customHeight="1">
      <c r="B20" s="176"/>
      <c r="C20" s="180"/>
      <c r="D20" s="70">
        <f>SUM(E20:I20)</f>
        <v>100</v>
      </c>
      <c r="E20" s="179">
        <v>100</v>
      </c>
      <c r="F20" s="179"/>
      <c r="G20" s="179"/>
      <c r="H20" s="514"/>
      <c r="I20" s="179"/>
      <c r="J20" s="179"/>
      <c r="K20" s="197"/>
      <c r="L20" s="197"/>
      <c r="M20" s="197"/>
      <c r="X20" s="70">
        <f>E20/$D20</f>
        <v>1</v>
      </c>
      <c r="Y20" s="70">
        <f t="shared" si="12"/>
        <v>0</v>
      </c>
      <c r="Z20" s="70">
        <f t="shared" si="12"/>
        <v>0</v>
      </c>
      <c r="AA20" s="70">
        <f t="shared" si="12"/>
        <v>0</v>
      </c>
      <c r="AB20" s="70">
        <f t="shared" si="12"/>
        <v>0</v>
      </c>
      <c r="AC20" s="70">
        <f t="shared" si="12"/>
        <v>0</v>
      </c>
      <c r="AD20" s="70">
        <f t="shared" si="12"/>
        <v>0</v>
      </c>
      <c r="AE20" s="70">
        <f t="shared" si="12"/>
        <v>0</v>
      </c>
      <c r="AF20" s="70">
        <f t="shared" si="12"/>
        <v>0</v>
      </c>
      <c r="AG20" s="70">
        <f t="shared" si="12"/>
        <v>0</v>
      </c>
      <c r="AI20" s="613">
        <f>X20*$C20</f>
        <v>0</v>
      </c>
      <c r="AJ20" s="92">
        <f t="shared" si="11"/>
        <v>0</v>
      </c>
      <c r="AK20" s="92">
        <f t="shared" si="11"/>
        <v>0</v>
      </c>
      <c r="AL20" s="92">
        <f t="shared" si="11"/>
        <v>0</v>
      </c>
      <c r="AM20" s="92">
        <f t="shared" si="11"/>
        <v>0</v>
      </c>
      <c r="AN20" s="92">
        <f t="shared" si="11"/>
        <v>0</v>
      </c>
      <c r="AO20" s="92">
        <f t="shared" si="11"/>
        <v>0</v>
      </c>
      <c r="AP20" s="92">
        <f t="shared" si="11"/>
        <v>0</v>
      </c>
      <c r="AQ20" s="621">
        <f t="shared" si="11"/>
        <v>0</v>
      </c>
      <c r="AR20" s="621">
        <f t="shared" si="11"/>
        <v>0</v>
      </c>
    </row>
    <row r="21" spans="2:44" s="68" customFormat="1">
      <c r="B21" s="95" t="s">
        <v>54</v>
      </c>
      <c r="C21" s="69">
        <f>SUM(C18:C20)</f>
        <v>0</v>
      </c>
      <c r="D21" s="88"/>
      <c r="E21" s="69" t="e">
        <f t="shared" ref="E21:J21" si="13">SUM(AI18:AI20)</f>
        <v>#DIV/0!</v>
      </c>
      <c r="F21" s="69" t="e">
        <f t="shared" si="13"/>
        <v>#DIV/0!</v>
      </c>
      <c r="G21" s="69" t="e">
        <f t="shared" si="13"/>
        <v>#DIV/0!</v>
      </c>
      <c r="H21" s="69" t="e">
        <f t="shared" si="13"/>
        <v>#DIV/0!</v>
      </c>
      <c r="I21" s="69" t="e">
        <f t="shared" si="13"/>
        <v>#DIV/0!</v>
      </c>
      <c r="J21" s="69" t="e">
        <f t="shared" si="13"/>
        <v>#DIV/0!</v>
      </c>
      <c r="AI21" s="91" t="e">
        <f>SUM(AI18:AI20)</f>
        <v>#DIV/0!</v>
      </c>
      <c r="AJ21" s="91" t="e">
        <f t="shared" ref="AJ21:AQ21" si="14">SUM(AJ18:AJ20)</f>
        <v>#DIV/0!</v>
      </c>
      <c r="AK21" s="91" t="e">
        <f t="shared" si="14"/>
        <v>#DIV/0!</v>
      </c>
      <c r="AL21" s="91" t="e">
        <f t="shared" si="14"/>
        <v>#DIV/0!</v>
      </c>
      <c r="AM21" s="91" t="e">
        <f t="shared" si="14"/>
        <v>#DIV/0!</v>
      </c>
      <c r="AN21" s="91" t="e">
        <f t="shared" si="14"/>
        <v>#DIV/0!</v>
      </c>
      <c r="AO21" s="91" t="e">
        <f t="shared" si="14"/>
        <v>#DIV/0!</v>
      </c>
      <c r="AP21" s="91" t="e">
        <f t="shared" si="14"/>
        <v>#DIV/0!</v>
      </c>
      <c r="AQ21" s="623" t="e">
        <f t="shared" si="14"/>
        <v>#DIV/0!</v>
      </c>
      <c r="AR21" s="623" t="e">
        <f>SUM(AR18:AR20)</f>
        <v>#DIV/0!</v>
      </c>
    </row>
    <row r="22" spans="2:44" s="68" customFormat="1">
      <c r="B22" s="95"/>
      <c r="C22" s="69"/>
      <c r="D22" s="97" t="s">
        <v>41</v>
      </c>
      <c r="E22" s="818" t="e">
        <f>E21/('1. Cow-Calf_InputForm'!$H$25+'1. Cow-Calf_InputForm'!$H$27)</f>
        <v>#DIV/0!</v>
      </c>
      <c r="F22" s="818" t="e">
        <f>F21/('2a. Replacement_InputForm'!$D$13+'2a. Replacement_InputForm'!$F$13)</f>
        <v>#DIV/0!</v>
      </c>
      <c r="G22" s="818" t="e">
        <f>G21/('3. Backgrounder_InputForm'!$D$13+'3. Backgrounder_InputForm'!$F$13)</f>
        <v>#DIV/0!</v>
      </c>
      <c r="H22" s="818" t="e">
        <f>H21/('4. Grasser_InputForm'!$D$13+'4. Grasser_InputForm'!$F$13)</f>
        <v>#DIV/0!</v>
      </c>
      <c r="I22" s="818" t="e">
        <f>I21/('5. Finisher_InputForm'!$D$12+'5. Finisher_InputForm'!$F$12+'5. Finisher_InputForm'!$H$12)</f>
        <v>#DIV/0!</v>
      </c>
      <c r="J22" s="819" t="e">
        <f>J21/'2b. HomeRaisedBulls_InputForm'!$D$13</f>
        <v>#DIV/0!</v>
      </c>
      <c r="AQ22" s="616"/>
      <c r="AR22" s="616"/>
    </row>
    <row r="23" spans="2:44" s="68" customFormat="1">
      <c r="B23" s="95"/>
      <c r="C23" s="69"/>
      <c r="D23" s="97"/>
      <c r="E23" s="98"/>
      <c r="F23" s="98"/>
      <c r="G23" s="98"/>
      <c r="H23" s="98"/>
      <c r="I23" s="98"/>
      <c r="J23" s="96"/>
      <c r="AQ23" s="616"/>
      <c r="AR23" s="616"/>
    </row>
    <row r="24" spans="2:44" ht="18.75" customHeight="1">
      <c r="B24" s="63"/>
      <c r="E24" s="922" t="s">
        <v>557</v>
      </c>
      <c r="F24" s="922"/>
      <c r="G24" s="922"/>
      <c r="H24" s="922"/>
      <c r="I24" s="922"/>
      <c r="J24" s="922"/>
      <c r="K24" s="516"/>
      <c r="L24" s="516"/>
      <c r="M24" s="516"/>
      <c r="X24" s="64" t="str">
        <f>B25</f>
        <v>BREEDING FEES</v>
      </c>
      <c r="AG24" s="64"/>
      <c r="AQ24" s="615"/>
      <c r="AR24" s="615"/>
    </row>
    <row r="25" spans="2:44" s="67" customFormat="1" ht="24.75" customHeight="1">
      <c r="B25" s="489" t="s">
        <v>201</v>
      </c>
      <c r="C25" s="508" t="s">
        <v>11</v>
      </c>
      <c r="D25" s="509" t="s">
        <v>391</v>
      </c>
      <c r="E25" s="492" t="str">
        <f>IF('About My Ranch'!$D$6="X","Cow-Calf","")</f>
        <v>Cow-Calf</v>
      </c>
      <c r="F25" s="492" t="str">
        <f>IF('About My Ranch'!$D$7="X","Repl Hfr","")</f>
        <v/>
      </c>
      <c r="G25" s="492" t="str">
        <f>IF('About My Ranch'!$D$9="X","Bckgrdr","")</f>
        <v/>
      </c>
      <c r="H25" s="513" t="str">
        <f>IF('About My Ranch'!$D$10="X","Grasser","")</f>
        <v/>
      </c>
      <c r="I25" s="492" t="str">
        <f>IF('About My Ranch'!$D$11="x","Finisher","")</f>
        <v/>
      </c>
      <c r="J25" s="610" t="str">
        <f>IF('About My Ranch'!$D$8="x","Ranch-Raised Bull","")</f>
        <v/>
      </c>
      <c r="K25" s="515"/>
      <c r="L25" s="515"/>
      <c r="M25" s="515"/>
      <c r="X25" s="102" t="str">
        <f t="shared" ref="X25:AG25" si="15">E25</f>
        <v>Cow-Calf</v>
      </c>
      <c r="Y25" s="102" t="str">
        <f t="shared" si="15"/>
        <v/>
      </c>
      <c r="Z25" s="102" t="str">
        <f t="shared" si="15"/>
        <v/>
      </c>
      <c r="AA25" s="102" t="str">
        <f t="shared" si="15"/>
        <v/>
      </c>
      <c r="AB25" s="102" t="str">
        <f t="shared" si="15"/>
        <v/>
      </c>
      <c r="AC25" s="102" t="str">
        <f t="shared" si="15"/>
        <v/>
      </c>
      <c r="AD25" s="102">
        <f t="shared" si="15"/>
        <v>0</v>
      </c>
      <c r="AE25" s="102">
        <f t="shared" si="15"/>
        <v>0</v>
      </c>
      <c r="AF25" s="102">
        <f t="shared" si="15"/>
        <v>0</v>
      </c>
      <c r="AG25" s="102">
        <f t="shared" si="15"/>
        <v>0</v>
      </c>
      <c r="AH25" s="95"/>
      <c r="AI25" s="612" t="str">
        <f t="shared" ref="AI25:AR25" si="16">E25</f>
        <v>Cow-Calf</v>
      </c>
      <c r="AJ25" s="102" t="str">
        <f t="shared" si="16"/>
        <v/>
      </c>
      <c r="AK25" s="102" t="str">
        <f t="shared" si="16"/>
        <v/>
      </c>
      <c r="AL25" s="102" t="str">
        <f t="shared" si="16"/>
        <v/>
      </c>
      <c r="AM25" s="102" t="str">
        <f t="shared" si="16"/>
        <v/>
      </c>
      <c r="AN25" s="102" t="str">
        <f t="shared" si="16"/>
        <v/>
      </c>
      <c r="AO25" s="102">
        <f t="shared" si="16"/>
        <v>0</v>
      </c>
      <c r="AP25" s="102">
        <f t="shared" si="16"/>
        <v>0</v>
      </c>
      <c r="AQ25" s="620">
        <f t="shared" si="16"/>
        <v>0</v>
      </c>
      <c r="AR25" s="620">
        <f t="shared" si="16"/>
        <v>0</v>
      </c>
    </row>
    <row r="26" spans="2:44" ht="18" customHeight="1">
      <c r="B26" s="176" t="s">
        <v>200</v>
      </c>
      <c r="C26" s="180"/>
      <c r="D26" s="70">
        <f>SUM(E26:I26)</f>
        <v>100</v>
      </c>
      <c r="E26" s="179">
        <v>100</v>
      </c>
      <c r="F26" s="179"/>
      <c r="G26" s="179"/>
      <c r="H26" s="179"/>
      <c r="I26" s="179"/>
      <c r="J26" s="179"/>
      <c r="K26" s="197"/>
      <c r="L26" s="197"/>
      <c r="M26" s="197"/>
      <c r="X26" s="70">
        <f>E26/$D26</f>
        <v>1</v>
      </c>
      <c r="Y26" s="70">
        <f t="shared" ref="Y26:AG26" si="17">F26/$D26</f>
        <v>0</v>
      </c>
      <c r="Z26" s="70">
        <f t="shared" si="17"/>
        <v>0</v>
      </c>
      <c r="AA26" s="70">
        <f t="shared" si="17"/>
        <v>0</v>
      </c>
      <c r="AB26" s="70">
        <f t="shared" si="17"/>
        <v>0</v>
      </c>
      <c r="AC26" s="70">
        <f t="shared" si="17"/>
        <v>0</v>
      </c>
      <c r="AD26" s="70">
        <f t="shared" si="17"/>
        <v>0</v>
      </c>
      <c r="AE26" s="70">
        <f t="shared" si="17"/>
        <v>0</v>
      </c>
      <c r="AF26" s="70">
        <f t="shared" si="17"/>
        <v>0</v>
      </c>
      <c r="AG26" s="70">
        <f t="shared" si="17"/>
        <v>0</v>
      </c>
      <c r="AI26" s="613">
        <f>X26*$C26</f>
        <v>0</v>
      </c>
      <c r="AJ26" s="92">
        <f t="shared" ref="AJ26:AR28" si="18">Y26*$C26</f>
        <v>0</v>
      </c>
      <c r="AK26" s="92">
        <f t="shared" si="18"/>
        <v>0</v>
      </c>
      <c r="AL26" s="92">
        <f t="shared" si="18"/>
        <v>0</v>
      </c>
      <c r="AM26" s="92">
        <f t="shared" si="18"/>
        <v>0</v>
      </c>
      <c r="AN26" s="92">
        <f t="shared" si="18"/>
        <v>0</v>
      </c>
      <c r="AO26" s="92">
        <f t="shared" si="18"/>
        <v>0</v>
      </c>
      <c r="AP26" s="92">
        <f t="shared" si="18"/>
        <v>0</v>
      </c>
      <c r="AQ26" s="621">
        <f t="shared" si="18"/>
        <v>0</v>
      </c>
      <c r="AR26" s="621">
        <f t="shared" si="18"/>
        <v>0</v>
      </c>
    </row>
    <row r="27" spans="2:44" ht="18" customHeight="1">
      <c r="B27" s="176" t="s">
        <v>422</v>
      </c>
      <c r="C27" s="180"/>
      <c r="D27" s="70">
        <f>SUM(E27:I27)</f>
        <v>100</v>
      </c>
      <c r="E27" s="179">
        <v>100</v>
      </c>
      <c r="F27" s="179"/>
      <c r="G27" s="179"/>
      <c r="H27" s="179"/>
      <c r="I27" s="179"/>
      <c r="J27" s="179"/>
      <c r="K27" s="197"/>
      <c r="L27" s="197"/>
      <c r="M27" s="197"/>
      <c r="X27" s="70">
        <f>E27/$D27</f>
        <v>1</v>
      </c>
      <c r="Y27" s="70">
        <f t="shared" ref="Y27:AG28" si="19">F27/$D27</f>
        <v>0</v>
      </c>
      <c r="Z27" s="70">
        <f t="shared" si="19"/>
        <v>0</v>
      </c>
      <c r="AA27" s="70">
        <f t="shared" si="19"/>
        <v>0</v>
      </c>
      <c r="AB27" s="70">
        <f t="shared" si="19"/>
        <v>0</v>
      </c>
      <c r="AC27" s="70">
        <f t="shared" si="19"/>
        <v>0</v>
      </c>
      <c r="AD27" s="70">
        <f t="shared" si="19"/>
        <v>0</v>
      </c>
      <c r="AE27" s="70">
        <f t="shared" si="19"/>
        <v>0</v>
      </c>
      <c r="AF27" s="70">
        <f t="shared" si="19"/>
        <v>0</v>
      </c>
      <c r="AG27" s="70">
        <f t="shared" si="19"/>
        <v>0</v>
      </c>
      <c r="AI27" s="613">
        <f>X27*$C27</f>
        <v>0</v>
      </c>
      <c r="AJ27" s="92">
        <f t="shared" si="18"/>
        <v>0</v>
      </c>
      <c r="AK27" s="92">
        <f t="shared" si="18"/>
        <v>0</v>
      </c>
      <c r="AL27" s="92">
        <f t="shared" si="18"/>
        <v>0</v>
      </c>
      <c r="AM27" s="92">
        <f t="shared" si="18"/>
        <v>0</v>
      </c>
      <c r="AN27" s="92">
        <f t="shared" si="18"/>
        <v>0</v>
      </c>
      <c r="AO27" s="92">
        <f t="shared" si="18"/>
        <v>0</v>
      </c>
      <c r="AP27" s="92">
        <f t="shared" si="18"/>
        <v>0</v>
      </c>
      <c r="AQ27" s="621">
        <f t="shared" si="18"/>
        <v>0</v>
      </c>
      <c r="AR27" s="621">
        <f t="shared" si="18"/>
        <v>0</v>
      </c>
    </row>
    <row r="28" spans="2:44" ht="18" customHeight="1">
      <c r="B28" s="176" t="s">
        <v>421</v>
      </c>
      <c r="C28" s="180"/>
      <c r="D28" s="70">
        <f>SUM(E28:I28)</f>
        <v>100</v>
      </c>
      <c r="E28" s="179">
        <v>100</v>
      </c>
      <c r="F28" s="179"/>
      <c r="G28" s="179"/>
      <c r="H28" s="179"/>
      <c r="I28" s="179"/>
      <c r="J28" s="179"/>
      <c r="K28" s="197"/>
      <c r="L28" s="197"/>
      <c r="M28" s="197"/>
      <c r="X28" s="70">
        <f>E28/$D28</f>
        <v>1</v>
      </c>
      <c r="Y28" s="70">
        <f t="shared" si="19"/>
        <v>0</v>
      </c>
      <c r="Z28" s="70">
        <f t="shared" si="19"/>
        <v>0</v>
      </c>
      <c r="AA28" s="70">
        <f t="shared" si="19"/>
        <v>0</v>
      </c>
      <c r="AB28" s="70">
        <f t="shared" si="19"/>
        <v>0</v>
      </c>
      <c r="AC28" s="70">
        <f t="shared" si="19"/>
        <v>0</v>
      </c>
      <c r="AD28" s="70">
        <f t="shared" si="19"/>
        <v>0</v>
      </c>
      <c r="AE28" s="70">
        <f t="shared" si="19"/>
        <v>0</v>
      </c>
      <c r="AF28" s="70">
        <f t="shared" si="19"/>
        <v>0</v>
      </c>
      <c r="AG28" s="70">
        <f t="shared" si="19"/>
        <v>0</v>
      </c>
      <c r="AI28" s="613">
        <f>X28*$C28</f>
        <v>0</v>
      </c>
      <c r="AJ28" s="92">
        <f t="shared" si="18"/>
        <v>0</v>
      </c>
      <c r="AK28" s="92">
        <f t="shared" si="18"/>
        <v>0</v>
      </c>
      <c r="AL28" s="92">
        <f t="shared" si="18"/>
        <v>0</v>
      </c>
      <c r="AM28" s="92">
        <f t="shared" si="18"/>
        <v>0</v>
      </c>
      <c r="AN28" s="92">
        <f t="shared" si="18"/>
        <v>0</v>
      </c>
      <c r="AO28" s="92">
        <f t="shared" si="18"/>
        <v>0</v>
      </c>
      <c r="AP28" s="92">
        <f t="shared" si="18"/>
        <v>0</v>
      </c>
      <c r="AQ28" s="621">
        <f t="shared" si="18"/>
        <v>0</v>
      </c>
      <c r="AR28" s="621">
        <f t="shared" si="18"/>
        <v>0</v>
      </c>
    </row>
    <row r="29" spans="2:44" s="68" customFormat="1">
      <c r="B29" s="95" t="s">
        <v>202</v>
      </c>
      <c r="C29" s="69">
        <f>SUM(C26:C28)</f>
        <v>0</v>
      </c>
      <c r="D29" s="88"/>
      <c r="E29" s="69">
        <f t="shared" ref="E29:J29" si="20">AI29</f>
        <v>0</v>
      </c>
      <c r="F29" s="69">
        <f t="shared" si="20"/>
        <v>0</v>
      </c>
      <c r="G29" s="69">
        <f t="shared" si="20"/>
        <v>0</v>
      </c>
      <c r="H29" s="69">
        <f t="shared" si="20"/>
        <v>0</v>
      </c>
      <c r="I29" s="69">
        <f t="shared" si="20"/>
        <v>0</v>
      </c>
      <c r="J29" s="69">
        <f t="shared" si="20"/>
        <v>0</v>
      </c>
      <c r="AG29" s="616"/>
      <c r="AI29" s="512">
        <f>SUM(AI26:AI28)</f>
        <v>0</v>
      </c>
      <c r="AJ29" s="512">
        <f t="shared" ref="AJ29:AQ29" si="21">SUM(AJ26:AJ28)</f>
        <v>0</v>
      </c>
      <c r="AK29" s="512">
        <f t="shared" si="21"/>
        <v>0</v>
      </c>
      <c r="AL29" s="512">
        <f t="shared" si="21"/>
        <v>0</v>
      </c>
      <c r="AM29" s="512">
        <f t="shared" si="21"/>
        <v>0</v>
      </c>
      <c r="AN29" s="512">
        <f t="shared" si="21"/>
        <v>0</v>
      </c>
      <c r="AO29" s="512">
        <f t="shared" si="21"/>
        <v>0</v>
      </c>
      <c r="AP29" s="512">
        <f t="shared" si="21"/>
        <v>0</v>
      </c>
      <c r="AQ29" s="622">
        <f t="shared" si="21"/>
        <v>0</v>
      </c>
      <c r="AR29" s="622">
        <f>SUM(AR26:AR28)</f>
        <v>0</v>
      </c>
    </row>
    <row r="30" spans="2:44" s="68" customFormat="1">
      <c r="B30" s="95"/>
      <c r="C30" s="69"/>
      <c r="D30" s="97" t="s">
        <v>41</v>
      </c>
      <c r="E30" s="98" t="e">
        <f>E29/('1. Cow-Calf_InputForm'!$H$25+'1. Cow-Calf_InputForm'!$H$27)</f>
        <v>#DIV/0!</v>
      </c>
      <c r="F30" s="510" t="e">
        <f>F29/('2a. Replacement_InputForm'!$D$13+'2a. Replacement_InputForm'!$F$13)</f>
        <v>#DIV/0!</v>
      </c>
      <c r="G30" s="510" t="e">
        <f>G29/('3. Backgrounder_InputForm'!$D$13+'3. Backgrounder_InputForm'!$F$13)</f>
        <v>#DIV/0!</v>
      </c>
      <c r="H30" s="510" t="e">
        <f>H29/('4. Grasser_InputForm'!$D$13+'4. Grasser_InputForm'!$F$13)</f>
        <v>#DIV/0!</v>
      </c>
      <c r="I30" s="98" t="e">
        <f>I29/('5. Finisher_InputForm'!$D$12+'5. Finisher_InputForm'!$F$12+'5. Finisher_InputForm'!$H$12)</f>
        <v>#DIV/0!</v>
      </c>
      <c r="J30" s="626" t="e">
        <f>J29/'2b. HomeRaisedBulls_InputForm'!$D$13</f>
        <v>#DIV/0!</v>
      </c>
      <c r="AG30" s="616"/>
      <c r="AQ30" s="616"/>
      <c r="AR30" s="616"/>
    </row>
    <row r="31" spans="2:44" s="68" customFormat="1">
      <c r="C31" s="88"/>
      <c r="D31" s="88"/>
      <c r="E31" s="88"/>
      <c r="F31" s="88"/>
      <c r="G31" s="88"/>
      <c r="H31" s="88"/>
      <c r="I31" s="88"/>
      <c r="J31" s="88"/>
      <c r="K31" s="88"/>
      <c r="L31" s="88"/>
      <c r="AG31" s="616"/>
      <c r="AQ31" s="616"/>
      <c r="AR31" s="616"/>
    </row>
    <row r="32" spans="2:44" ht="28">
      <c r="B32" s="99"/>
      <c r="C32" s="88"/>
      <c r="D32" s="88"/>
      <c r="AQ32" s="615"/>
      <c r="AR32" s="615"/>
    </row>
    <row r="33" spans="2:44" ht="20.25" customHeight="1">
      <c r="B33" s="99"/>
      <c r="C33" s="88"/>
      <c r="D33" s="88"/>
      <c r="AQ33" s="615"/>
      <c r="AR33" s="615"/>
    </row>
    <row r="34" spans="2:44" ht="20.25" customHeight="1">
      <c r="B34" s="99"/>
      <c r="C34" s="88"/>
      <c r="D34" s="88"/>
      <c r="AQ34" s="615"/>
      <c r="AR34" s="615"/>
    </row>
    <row r="35" spans="2:44" ht="20.25" customHeight="1">
      <c r="B35" s="99"/>
      <c r="C35" s="88"/>
      <c r="D35" s="88"/>
      <c r="AQ35" s="615"/>
      <c r="AR35" s="615"/>
    </row>
    <row r="36" spans="2:44" ht="20.25" customHeight="1">
      <c r="B36" s="99"/>
      <c r="C36" s="88"/>
      <c r="D36" s="88"/>
      <c r="AQ36" s="615"/>
      <c r="AR36" s="615"/>
    </row>
    <row r="37" spans="2:44" ht="18.75" customHeight="1">
      <c r="B37" s="63"/>
      <c r="E37" s="921" t="s">
        <v>420</v>
      </c>
      <c r="F37" s="921"/>
      <c r="G37" s="921"/>
      <c r="H37" s="921"/>
      <c r="I37" s="921"/>
      <c r="J37" s="921"/>
      <c r="K37" s="921"/>
      <c r="L37" s="921"/>
      <c r="M37" s="921"/>
      <c r="N37" s="921"/>
      <c r="X37" s="64" t="str">
        <f>B38</f>
        <v>FUEL</v>
      </c>
      <c r="AQ37" s="615"/>
      <c r="AR37" s="615"/>
    </row>
    <row r="38" spans="2:44" s="67" customFormat="1" ht="25.5" customHeight="1">
      <c r="B38" s="489" t="s">
        <v>112</v>
      </c>
      <c r="C38" s="508" t="s">
        <v>11</v>
      </c>
      <c r="D38" s="509" t="s">
        <v>391</v>
      </c>
      <c r="E38" s="492" t="str">
        <f>IF('About My Ranch'!$D$6="X","Cow-Calf","")</f>
        <v>Cow-Calf</v>
      </c>
      <c r="F38" s="492" t="str">
        <f>IF('About My Ranch'!$D$7="X","Repl Hfr","")</f>
        <v/>
      </c>
      <c r="G38" s="492" t="str">
        <f>IF('About My Ranch'!$D$9="X","Bckgrdr","")</f>
        <v/>
      </c>
      <c r="H38" s="492" t="str">
        <f>IF('About My Ranch'!$D$10="X","Grasser","")</f>
        <v/>
      </c>
      <c r="I38" s="492" t="str">
        <f>IF('About My Ranch'!$D$11="x","Finisher","")</f>
        <v/>
      </c>
      <c r="J38" s="492" t="str">
        <f>IF('About My Ranch'!$D$12="X","Forage","")</f>
        <v/>
      </c>
      <c r="K38" s="492" t="str">
        <f>IF('About My Ranch'!$D$13="x","Grazing","")</f>
        <v/>
      </c>
      <c r="L38" s="492" t="str">
        <f>IF('About My Ranch'!$D$14="x","Grain","")</f>
        <v/>
      </c>
      <c r="M38" s="492" t="str">
        <f>IF('About My Ranch'!$D$15="x",'About My Ranch'!D38,"")</f>
        <v/>
      </c>
      <c r="N38" s="610" t="str">
        <f>IF('About My Ranch'!$D$8="x","Ranch-Raised Bull","")</f>
        <v/>
      </c>
      <c r="X38" s="102" t="str">
        <f t="shared" ref="X38:AG38" si="22">E38</f>
        <v>Cow-Calf</v>
      </c>
      <c r="Y38" s="102" t="str">
        <f t="shared" si="22"/>
        <v/>
      </c>
      <c r="Z38" s="102" t="str">
        <f t="shared" si="22"/>
        <v/>
      </c>
      <c r="AA38" s="102" t="str">
        <f t="shared" si="22"/>
        <v/>
      </c>
      <c r="AB38" s="102" t="str">
        <f t="shared" si="22"/>
        <v/>
      </c>
      <c r="AC38" s="102" t="str">
        <f t="shared" si="22"/>
        <v/>
      </c>
      <c r="AD38" s="102" t="str">
        <f t="shared" si="22"/>
        <v/>
      </c>
      <c r="AE38" s="102" t="str">
        <f t="shared" si="22"/>
        <v/>
      </c>
      <c r="AF38" s="102" t="str">
        <f t="shared" si="22"/>
        <v/>
      </c>
      <c r="AG38" s="617" t="str">
        <f t="shared" si="22"/>
        <v/>
      </c>
      <c r="AH38" s="95"/>
      <c r="AI38" s="612" t="str">
        <f t="shared" ref="AI38:AR38" si="23">E38</f>
        <v>Cow-Calf</v>
      </c>
      <c r="AJ38" s="102" t="str">
        <f t="shared" si="23"/>
        <v/>
      </c>
      <c r="AK38" s="102" t="str">
        <f t="shared" si="23"/>
        <v/>
      </c>
      <c r="AL38" s="102" t="str">
        <f t="shared" si="23"/>
        <v/>
      </c>
      <c r="AM38" s="102" t="str">
        <f t="shared" si="23"/>
        <v/>
      </c>
      <c r="AN38" s="102" t="str">
        <f t="shared" si="23"/>
        <v/>
      </c>
      <c r="AO38" s="102" t="str">
        <f t="shared" si="23"/>
        <v/>
      </c>
      <c r="AP38" s="102" t="str">
        <f t="shared" si="23"/>
        <v/>
      </c>
      <c r="AQ38" s="620" t="str">
        <f t="shared" si="23"/>
        <v/>
      </c>
      <c r="AR38" s="620" t="str">
        <f t="shared" si="23"/>
        <v/>
      </c>
    </row>
    <row r="39" spans="2:44">
      <c r="B39" s="176" t="s">
        <v>426</v>
      </c>
      <c r="C39" s="181"/>
      <c r="D39" s="70">
        <f>SUM(E39:N39)</f>
        <v>100</v>
      </c>
      <c r="E39" s="179">
        <v>100</v>
      </c>
      <c r="F39" s="179"/>
      <c r="G39" s="179"/>
      <c r="H39" s="179"/>
      <c r="I39" s="179"/>
      <c r="J39" s="179"/>
      <c r="K39" s="179"/>
      <c r="L39" s="179"/>
      <c r="M39" s="179"/>
      <c r="N39" s="179"/>
      <c r="X39" s="70">
        <f>E39/$D39</f>
        <v>1</v>
      </c>
      <c r="Y39" s="70">
        <f t="shared" ref="Y39:AG41" si="24">F39/$D39</f>
        <v>0</v>
      </c>
      <c r="Z39" s="70">
        <f t="shared" si="24"/>
        <v>0</v>
      </c>
      <c r="AA39" s="70">
        <f t="shared" si="24"/>
        <v>0</v>
      </c>
      <c r="AB39" s="70">
        <f t="shared" si="24"/>
        <v>0</v>
      </c>
      <c r="AC39" s="70">
        <f t="shared" si="24"/>
        <v>0</v>
      </c>
      <c r="AD39" s="70">
        <f t="shared" si="24"/>
        <v>0</v>
      </c>
      <c r="AE39" s="70">
        <f t="shared" si="24"/>
        <v>0</v>
      </c>
      <c r="AF39" s="70">
        <f t="shared" si="24"/>
        <v>0</v>
      </c>
      <c r="AG39" s="618">
        <f t="shared" si="24"/>
        <v>0</v>
      </c>
      <c r="AH39" s="88"/>
      <c r="AI39" s="613">
        <f>X39*$C39</f>
        <v>0</v>
      </c>
      <c r="AJ39" s="92">
        <f t="shared" ref="AJ39:AR41" si="25">Y39*$C39</f>
        <v>0</v>
      </c>
      <c r="AK39" s="92">
        <f t="shared" si="25"/>
        <v>0</v>
      </c>
      <c r="AL39" s="92">
        <f t="shared" si="25"/>
        <v>0</v>
      </c>
      <c r="AM39" s="92">
        <f t="shared" si="25"/>
        <v>0</v>
      </c>
      <c r="AN39" s="92">
        <f t="shared" si="25"/>
        <v>0</v>
      </c>
      <c r="AO39" s="92">
        <f t="shared" si="25"/>
        <v>0</v>
      </c>
      <c r="AP39" s="92">
        <f t="shared" si="25"/>
        <v>0</v>
      </c>
      <c r="AQ39" s="621">
        <f t="shared" si="25"/>
        <v>0</v>
      </c>
      <c r="AR39" s="621">
        <f t="shared" si="25"/>
        <v>0</v>
      </c>
    </row>
    <row r="40" spans="2:44">
      <c r="B40" s="176" t="s">
        <v>427</v>
      </c>
      <c r="C40" s="181">
        <v>0</v>
      </c>
      <c r="D40" s="70">
        <f>SUM(E40:N40)</f>
        <v>100</v>
      </c>
      <c r="E40" s="179">
        <v>100</v>
      </c>
      <c r="F40" s="179"/>
      <c r="G40" s="179"/>
      <c r="H40" s="179"/>
      <c r="I40" s="179"/>
      <c r="J40" s="179"/>
      <c r="K40" s="179"/>
      <c r="L40" s="179"/>
      <c r="M40" s="179"/>
      <c r="N40" s="179"/>
      <c r="X40" s="70">
        <f>E40/$D40</f>
        <v>1</v>
      </c>
      <c r="Y40" s="70">
        <f t="shared" si="24"/>
        <v>0</v>
      </c>
      <c r="Z40" s="70">
        <f t="shared" si="24"/>
        <v>0</v>
      </c>
      <c r="AA40" s="70">
        <f t="shared" si="24"/>
        <v>0</v>
      </c>
      <c r="AB40" s="70">
        <f t="shared" si="24"/>
        <v>0</v>
      </c>
      <c r="AC40" s="70">
        <f t="shared" si="24"/>
        <v>0</v>
      </c>
      <c r="AD40" s="70">
        <f t="shared" si="24"/>
        <v>0</v>
      </c>
      <c r="AE40" s="70">
        <f t="shared" si="24"/>
        <v>0</v>
      </c>
      <c r="AF40" s="70">
        <f t="shared" si="24"/>
        <v>0</v>
      </c>
      <c r="AG40" s="618">
        <f t="shared" si="24"/>
        <v>0</v>
      </c>
      <c r="AH40" s="88"/>
      <c r="AI40" s="613">
        <f>X40*$C40</f>
        <v>0</v>
      </c>
      <c r="AJ40" s="92">
        <f t="shared" si="25"/>
        <v>0</v>
      </c>
      <c r="AK40" s="92">
        <f t="shared" si="25"/>
        <v>0</v>
      </c>
      <c r="AL40" s="92">
        <f t="shared" si="25"/>
        <v>0</v>
      </c>
      <c r="AM40" s="92">
        <f t="shared" si="25"/>
        <v>0</v>
      </c>
      <c r="AN40" s="92">
        <f t="shared" si="25"/>
        <v>0</v>
      </c>
      <c r="AO40" s="92">
        <f t="shared" si="25"/>
        <v>0</v>
      </c>
      <c r="AP40" s="92">
        <f t="shared" si="25"/>
        <v>0</v>
      </c>
      <c r="AQ40" s="621">
        <f t="shared" si="25"/>
        <v>0</v>
      </c>
      <c r="AR40" s="621">
        <f t="shared" si="25"/>
        <v>0</v>
      </c>
    </row>
    <row r="41" spans="2:44">
      <c r="B41" s="176" t="s">
        <v>428</v>
      </c>
      <c r="C41" s="181">
        <v>0</v>
      </c>
      <c r="D41" s="70">
        <f>SUM(E41:N41)</f>
        <v>100</v>
      </c>
      <c r="E41" s="179">
        <v>100</v>
      </c>
      <c r="F41" s="179"/>
      <c r="G41" s="179"/>
      <c r="H41" s="179"/>
      <c r="I41" s="179"/>
      <c r="J41" s="179"/>
      <c r="K41" s="179"/>
      <c r="L41" s="179"/>
      <c r="M41" s="179"/>
      <c r="N41" s="179"/>
      <c r="X41" s="70">
        <f>E41/$D41</f>
        <v>1</v>
      </c>
      <c r="Y41" s="70">
        <f t="shared" si="24"/>
        <v>0</v>
      </c>
      <c r="Z41" s="70">
        <f t="shared" si="24"/>
        <v>0</v>
      </c>
      <c r="AA41" s="70">
        <f t="shared" si="24"/>
        <v>0</v>
      </c>
      <c r="AB41" s="70">
        <f t="shared" si="24"/>
        <v>0</v>
      </c>
      <c r="AC41" s="70">
        <f t="shared" si="24"/>
        <v>0</v>
      </c>
      <c r="AD41" s="70">
        <f t="shared" si="24"/>
        <v>0</v>
      </c>
      <c r="AE41" s="70">
        <f t="shared" si="24"/>
        <v>0</v>
      </c>
      <c r="AF41" s="70">
        <f t="shared" si="24"/>
        <v>0</v>
      </c>
      <c r="AG41" s="618">
        <f t="shared" si="24"/>
        <v>0</v>
      </c>
      <c r="AH41" s="88"/>
      <c r="AI41" s="613">
        <f>X41*$C41</f>
        <v>0</v>
      </c>
      <c r="AJ41" s="92">
        <f t="shared" si="25"/>
        <v>0</v>
      </c>
      <c r="AK41" s="92">
        <f t="shared" si="25"/>
        <v>0</v>
      </c>
      <c r="AL41" s="92">
        <f t="shared" si="25"/>
        <v>0</v>
      </c>
      <c r="AM41" s="92">
        <f t="shared" si="25"/>
        <v>0</v>
      </c>
      <c r="AN41" s="92">
        <f t="shared" si="25"/>
        <v>0</v>
      </c>
      <c r="AO41" s="92">
        <f t="shared" si="25"/>
        <v>0</v>
      </c>
      <c r="AP41" s="92">
        <f t="shared" si="25"/>
        <v>0</v>
      </c>
      <c r="AQ41" s="621">
        <f t="shared" si="25"/>
        <v>0</v>
      </c>
      <c r="AR41" s="621">
        <f t="shared" si="25"/>
        <v>0</v>
      </c>
    </row>
    <row r="42" spans="2:44">
      <c r="B42" s="95" t="s">
        <v>55</v>
      </c>
      <c r="C42" s="69">
        <f>SUM(C39:C41)</f>
        <v>0</v>
      </c>
      <c r="D42" s="88"/>
      <c r="E42" s="69">
        <f>SUM(AI39:AI41)</f>
        <v>0</v>
      </c>
      <c r="F42" s="69">
        <f t="shared" ref="F42:N42" si="26">SUM(AJ39:AJ41)</f>
        <v>0</v>
      </c>
      <c r="G42" s="69">
        <f t="shared" si="26"/>
        <v>0</v>
      </c>
      <c r="H42" s="69">
        <f t="shared" si="26"/>
        <v>0</v>
      </c>
      <c r="I42" s="69">
        <f t="shared" si="26"/>
        <v>0</v>
      </c>
      <c r="J42" s="69">
        <f t="shared" si="26"/>
        <v>0</v>
      </c>
      <c r="K42" s="69">
        <f t="shared" si="26"/>
        <v>0</v>
      </c>
      <c r="L42" s="69">
        <f t="shared" si="26"/>
        <v>0</v>
      </c>
      <c r="M42" s="69">
        <f t="shared" si="26"/>
        <v>0</v>
      </c>
      <c r="N42" s="69">
        <f t="shared" si="26"/>
        <v>0</v>
      </c>
      <c r="AQ42" s="615"/>
      <c r="AR42" s="615"/>
    </row>
    <row r="43" spans="2:44" ht="15">
      <c r="B43" s="100"/>
      <c r="C43" s="65"/>
      <c r="D43" s="101"/>
      <c r="E43" s="65"/>
      <c r="F43" s="65"/>
      <c r="G43" s="65"/>
      <c r="H43" s="65"/>
      <c r="I43" s="65"/>
      <c r="J43" s="65"/>
      <c r="K43" s="65"/>
      <c r="L43" s="65"/>
      <c r="M43" s="67"/>
      <c r="X43" s="64" t="str">
        <f>B44</f>
        <v>MACHINERY REPAIRS</v>
      </c>
      <c r="AQ43" s="615"/>
      <c r="AR43" s="615"/>
    </row>
    <row r="44" spans="2:44" s="67" customFormat="1" ht="24" customHeight="1">
      <c r="B44" s="489" t="s">
        <v>97</v>
      </c>
      <c r="C44" s="508" t="s">
        <v>11</v>
      </c>
      <c r="D44" s="509" t="s">
        <v>391</v>
      </c>
      <c r="E44" s="492" t="str">
        <f>IF('About My Ranch'!$D$6="X","Cow-Calf","")</f>
        <v>Cow-Calf</v>
      </c>
      <c r="F44" s="492" t="str">
        <f>IF('About My Ranch'!$D$7="X","Repl Hfr","")</f>
        <v/>
      </c>
      <c r="G44" s="492" t="str">
        <f>IF('About My Ranch'!$D$9="X","Bckgrdr","")</f>
        <v/>
      </c>
      <c r="H44" s="492" t="str">
        <f>IF('About My Ranch'!$D$10="X","Grasser","")</f>
        <v/>
      </c>
      <c r="I44" s="492" t="str">
        <f>IF('About My Ranch'!$D$11="x","Finisher","")</f>
        <v/>
      </c>
      <c r="J44" s="492" t="str">
        <f>IF('About My Ranch'!$D$12="X","Forage","")</f>
        <v/>
      </c>
      <c r="K44" s="492" t="str">
        <f>IF('About My Ranch'!$D$13="x","Grazing","")</f>
        <v/>
      </c>
      <c r="L44" s="492" t="str">
        <f>IF('About My Ranch'!$D$14="x","Grain","")</f>
        <v/>
      </c>
      <c r="M44" s="492" t="str">
        <f>IF('About My Ranch'!$D$15="x",'About My Ranch'!D44,"")</f>
        <v/>
      </c>
      <c r="N44" s="610" t="str">
        <f>IF('About My Ranch'!$D$8="x","Ranch-Raised Bull","")</f>
        <v/>
      </c>
      <c r="X44" s="102" t="str">
        <f t="shared" ref="X44:AG44" si="27">E44</f>
        <v>Cow-Calf</v>
      </c>
      <c r="Y44" s="102" t="str">
        <f t="shared" si="27"/>
        <v/>
      </c>
      <c r="Z44" s="102" t="str">
        <f t="shared" si="27"/>
        <v/>
      </c>
      <c r="AA44" s="102" t="str">
        <f t="shared" si="27"/>
        <v/>
      </c>
      <c r="AB44" s="102" t="str">
        <f t="shared" si="27"/>
        <v/>
      </c>
      <c r="AC44" s="102" t="str">
        <f t="shared" si="27"/>
        <v/>
      </c>
      <c r="AD44" s="102" t="str">
        <f t="shared" si="27"/>
        <v/>
      </c>
      <c r="AE44" s="102" t="str">
        <f t="shared" si="27"/>
        <v/>
      </c>
      <c r="AF44" s="102" t="str">
        <f t="shared" si="27"/>
        <v/>
      </c>
      <c r="AG44" s="617" t="str">
        <f t="shared" si="27"/>
        <v/>
      </c>
      <c r="AH44" s="95"/>
      <c r="AI44" s="612" t="str">
        <f t="shared" ref="AI44:AR44" si="28">E44</f>
        <v>Cow-Calf</v>
      </c>
      <c r="AJ44" s="102" t="str">
        <f t="shared" si="28"/>
        <v/>
      </c>
      <c r="AK44" s="102" t="str">
        <f t="shared" si="28"/>
        <v/>
      </c>
      <c r="AL44" s="102" t="str">
        <f t="shared" si="28"/>
        <v/>
      </c>
      <c r="AM44" s="102" t="str">
        <f t="shared" si="28"/>
        <v/>
      </c>
      <c r="AN44" s="102" t="str">
        <f t="shared" si="28"/>
        <v/>
      </c>
      <c r="AO44" s="102" t="str">
        <f t="shared" si="28"/>
        <v/>
      </c>
      <c r="AP44" s="102" t="str">
        <f t="shared" si="28"/>
        <v/>
      </c>
      <c r="AQ44" s="620" t="str">
        <f t="shared" si="28"/>
        <v/>
      </c>
      <c r="AR44" s="620" t="str">
        <f t="shared" si="28"/>
        <v/>
      </c>
    </row>
    <row r="45" spans="2:44">
      <c r="B45" s="176" t="s">
        <v>597</v>
      </c>
      <c r="C45" s="179"/>
      <c r="D45" s="70">
        <f>SUM(E45:N45)</f>
        <v>100</v>
      </c>
      <c r="E45" s="179">
        <v>100</v>
      </c>
      <c r="F45" s="179"/>
      <c r="G45" s="179"/>
      <c r="H45" s="179"/>
      <c r="I45" s="179"/>
      <c r="J45" s="179"/>
      <c r="K45" s="179"/>
      <c r="L45" s="179"/>
      <c r="M45" s="179"/>
      <c r="N45" s="179"/>
      <c r="X45" s="70">
        <f>E45/$D45</f>
        <v>1</v>
      </c>
      <c r="Y45" s="70">
        <f t="shared" ref="Y45:AG54" si="29">F45/$D45</f>
        <v>0</v>
      </c>
      <c r="Z45" s="70">
        <f t="shared" si="29"/>
        <v>0</v>
      </c>
      <c r="AA45" s="70">
        <f t="shared" si="29"/>
        <v>0</v>
      </c>
      <c r="AB45" s="70">
        <f t="shared" si="29"/>
        <v>0</v>
      </c>
      <c r="AC45" s="70">
        <f t="shared" si="29"/>
        <v>0</v>
      </c>
      <c r="AD45" s="70">
        <f t="shared" si="29"/>
        <v>0</v>
      </c>
      <c r="AE45" s="70">
        <f t="shared" si="29"/>
        <v>0</v>
      </c>
      <c r="AF45" s="70">
        <f t="shared" si="29"/>
        <v>0</v>
      </c>
      <c r="AG45" s="618">
        <f t="shared" si="29"/>
        <v>0</v>
      </c>
      <c r="AH45" s="88"/>
      <c r="AI45" s="613">
        <f>X45*$C45</f>
        <v>0</v>
      </c>
      <c r="AJ45" s="92">
        <f t="shared" ref="AJ45:AR54" si="30">Y45*$C45</f>
        <v>0</v>
      </c>
      <c r="AK45" s="92">
        <f t="shared" si="30"/>
        <v>0</v>
      </c>
      <c r="AL45" s="92">
        <f t="shared" si="30"/>
        <v>0</v>
      </c>
      <c r="AM45" s="92">
        <f t="shared" si="30"/>
        <v>0</v>
      </c>
      <c r="AN45" s="92">
        <f t="shared" si="30"/>
        <v>0</v>
      </c>
      <c r="AO45" s="92">
        <f t="shared" si="30"/>
        <v>0</v>
      </c>
      <c r="AP45" s="92">
        <f t="shared" si="30"/>
        <v>0</v>
      </c>
      <c r="AQ45" s="621">
        <f t="shared" si="30"/>
        <v>0</v>
      </c>
      <c r="AR45" s="621">
        <f t="shared" si="30"/>
        <v>0</v>
      </c>
    </row>
    <row r="46" spans="2:44">
      <c r="B46" s="176" t="s">
        <v>592</v>
      </c>
      <c r="C46" s="179"/>
      <c r="D46" s="70">
        <f t="shared" ref="D46:D54" si="31">SUM(E46:N46)</f>
        <v>100</v>
      </c>
      <c r="E46" s="179">
        <v>100</v>
      </c>
      <c r="F46" s="179"/>
      <c r="G46" s="179"/>
      <c r="H46" s="179"/>
      <c r="I46" s="179"/>
      <c r="J46" s="179"/>
      <c r="K46" s="179"/>
      <c r="L46" s="179"/>
      <c r="M46" s="179"/>
      <c r="N46" s="179"/>
      <c r="X46" s="70">
        <f t="shared" ref="X46:X54" si="32">E46/$D46</f>
        <v>1</v>
      </c>
      <c r="Y46" s="70">
        <f t="shared" si="29"/>
        <v>0</v>
      </c>
      <c r="Z46" s="70">
        <f t="shared" si="29"/>
        <v>0</v>
      </c>
      <c r="AA46" s="70">
        <f t="shared" si="29"/>
        <v>0</v>
      </c>
      <c r="AB46" s="70">
        <f t="shared" si="29"/>
        <v>0</v>
      </c>
      <c r="AC46" s="70">
        <f t="shared" si="29"/>
        <v>0</v>
      </c>
      <c r="AD46" s="70">
        <f t="shared" si="29"/>
        <v>0</v>
      </c>
      <c r="AE46" s="70">
        <f t="shared" si="29"/>
        <v>0</v>
      </c>
      <c r="AF46" s="70">
        <f t="shared" si="29"/>
        <v>0</v>
      </c>
      <c r="AG46" s="618">
        <f t="shared" si="29"/>
        <v>0</v>
      </c>
      <c r="AH46" s="88"/>
      <c r="AI46" s="613">
        <f t="shared" ref="AI46:AI54" si="33">X46*$C46</f>
        <v>0</v>
      </c>
      <c r="AJ46" s="92">
        <f t="shared" si="30"/>
        <v>0</v>
      </c>
      <c r="AK46" s="92">
        <f t="shared" si="30"/>
        <v>0</v>
      </c>
      <c r="AL46" s="92">
        <f t="shared" si="30"/>
        <v>0</v>
      </c>
      <c r="AM46" s="92">
        <f t="shared" si="30"/>
        <v>0</v>
      </c>
      <c r="AN46" s="92">
        <f t="shared" si="30"/>
        <v>0</v>
      </c>
      <c r="AO46" s="92">
        <f t="shared" si="30"/>
        <v>0</v>
      </c>
      <c r="AP46" s="92">
        <f t="shared" si="30"/>
        <v>0</v>
      </c>
      <c r="AQ46" s="621">
        <f t="shared" si="30"/>
        <v>0</v>
      </c>
      <c r="AR46" s="621">
        <f t="shared" si="30"/>
        <v>0</v>
      </c>
    </row>
    <row r="47" spans="2:44">
      <c r="B47" s="176" t="s">
        <v>593</v>
      </c>
      <c r="C47" s="179"/>
      <c r="D47" s="70">
        <f t="shared" si="31"/>
        <v>100</v>
      </c>
      <c r="E47" s="179">
        <v>100</v>
      </c>
      <c r="F47" s="179"/>
      <c r="G47" s="179"/>
      <c r="H47" s="179"/>
      <c r="I47" s="179"/>
      <c r="J47" s="179"/>
      <c r="K47" s="179"/>
      <c r="L47" s="179"/>
      <c r="M47" s="179"/>
      <c r="N47" s="179"/>
      <c r="X47" s="70">
        <f t="shared" si="32"/>
        <v>1</v>
      </c>
      <c r="Y47" s="70">
        <f t="shared" si="29"/>
        <v>0</v>
      </c>
      <c r="Z47" s="70">
        <f t="shared" si="29"/>
        <v>0</v>
      </c>
      <c r="AA47" s="70">
        <f t="shared" si="29"/>
        <v>0</v>
      </c>
      <c r="AB47" s="70">
        <f t="shared" si="29"/>
        <v>0</v>
      </c>
      <c r="AC47" s="70">
        <f t="shared" si="29"/>
        <v>0</v>
      </c>
      <c r="AD47" s="70">
        <f t="shared" si="29"/>
        <v>0</v>
      </c>
      <c r="AE47" s="70">
        <f t="shared" si="29"/>
        <v>0</v>
      </c>
      <c r="AF47" s="70">
        <f t="shared" si="29"/>
        <v>0</v>
      </c>
      <c r="AG47" s="618">
        <f t="shared" si="29"/>
        <v>0</v>
      </c>
      <c r="AH47" s="88"/>
      <c r="AI47" s="613">
        <f t="shared" si="33"/>
        <v>0</v>
      </c>
      <c r="AJ47" s="92">
        <f t="shared" si="30"/>
        <v>0</v>
      </c>
      <c r="AK47" s="92">
        <f t="shared" si="30"/>
        <v>0</v>
      </c>
      <c r="AL47" s="92">
        <f t="shared" si="30"/>
        <v>0</v>
      </c>
      <c r="AM47" s="92">
        <f t="shared" si="30"/>
        <v>0</v>
      </c>
      <c r="AN47" s="92">
        <f t="shared" si="30"/>
        <v>0</v>
      </c>
      <c r="AO47" s="92">
        <f t="shared" si="30"/>
        <v>0</v>
      </c>
      <c r="AP47" s="92">
        <f t="shared" si="30"/>
        <v>0</v>
      </c>
      <c r="AQ47" s="621">
        <f t="shared" si="30"/>
        <v>0</v>
      </c>
      <c r="AR47" s="621">
        <f t="shared" si="30"/>
        <v>0</v>
      </c>
    </row>
    <row r="48" spans="2:44">
      <c r="B48" s="176" t="s">
        <v>594</v>
      </c>
      <c r="C48" s="179"/>
      <c r="D48" s="70">
        <f t="shared" si="31"/>
        <v>100</v>
      </c>
      <c r="E48" s="179">
        <v>100</v>
      </c>
      <c r="F48" s="179"/>
      <c r="G48" s="179"/>
      <c r="H48" s="179"/>
      <c r="I48" s="179"/>
      <c r="J48" s="179"/>
      <c r="K48" s="179"/>
      <c r="L48" s="179"/>
      <c r="M48" s="179"/>
      <c r="N48" s="179"/>
      <c r="X48" s="70">
        <f t="shared" si="32"/>
        <v>1</v>
      </c>
      <c r="Y48" s="70">
        <f t="shared" si="29"/>
        <v>0</v>
      </c>
      <c r="Z48" s="70">
        <f t="shared" si="29"/>
        <v>0</v>
      </c>
      <c r="AA48" s="70">
        <f t="shared" si="29"/>
        <v>0</v>
      </c>
      <c r="AB48" s="70">
        <f t="shared" si="29"/>
        <v>0</v>
      </c>
      <c r="AC48" s="70">
        <f t="shared" si="29"/>
        <v>0</v>
      </c>
      <c r="AD48" s="70">
        <f t="shared" si="29"/>
        <v>0</v>
      </c>
      <c r="AE48" s="70">
        <f t="shared" si="29"/>
        <v>0</v>
      </c>
      <c r="AF48" s="70">
        <f t="shared" si="29"/>
        <v>0</v>
      </c>
      <c r="AG48" s="618">
        <f t="shared" si="29"/>
        <v>0</v>
      </c>
      <c r="AH48" s="88"/>
      <c r="AI48" s="613">
        <f t="shared" ref="AI48:AR49" si="34">X48*$C48</f>
        <v>0</v>
      </c>
      <c r="AJ48" s="92">
        <f t="shared" si="34"/>
        <v>0</v>
      </c>
      <c r="AK48" s="92">
        <f t="shared" si="34"/>
        <v>0</v>
      </c>
      <c r="AL48" s="92">
        <f t="shared" si="34"/>
        <v>0</v>
      </c>
      <c r="AM48" s="92">
        <f t="shared" si="34"/>
        <v>0</v>
      </c>
      <c r="AN48" s="92">
        <f t="shared" si="34"/>
        <v>0</v>
      </c>
      <c r="AO48" s="92">
        <f t="shared" si="34"/>
        <v>0</v>
      </c>
      <c r="AP48" s="92">
        <f t="shared" si="34"/>
        <v>0</v>
      </c>
      <c r="AQ48" s="621">
        <f t="shared" si="34"/>
        <v>0</v>
      </c>
      <c r="AR48" s="621">
        <f t="shared" si="34"/>
        <v>0</v>
      </c>
    </row>
    <row r="49" spans="2:44">
      <c r="B49" s="176" t="s">
        <v>595</v>
      </c>
      <c r="C49" s="179"/>
      <c r="D49" s="70">
        <f t="shared" si="31"/>
        <v>100</v>
      </c>
      <c r="E49" s="179">
        <v>100</v>
      </c>
      <c r="F49" s="179"/>
      <c r="G49" s="179"/>
      <c r="H49" s="179"/>
      <c r="I49" s="179"/>
      <c r="J49" s="179"/>
      <c r="K49" s="179"/>
      <c r="L49" s="179"/>
      <c r="M49" s="179"/>
      <c r="N49" s="179"/>
      <c r="X49" s="70">
        <f t="shared" si="32"/>
        <v>1</v>
      </c>
      <c r="Y49" s="70">
        <f t="shared" si="29"/>
        <v>0</v>
      </c>
      <c r="Z49" s="70">
        <f t="shared" si="29"/>
        <v>0</v>
      </c>
      <c r="AA49" s="70">
        <f t="shared" si="29"/>
        <v>0</v>
      </c>
      <c r="AB49" s="70">
        <f t="shared" si="29"/>
        <v>0</v>
      </c>
      <c r="AC49" s="70">
        <f t="shared" si="29"/>
        <v>0</v>
      </c>
      <c r="AD49" s="70">
        <f t="shared" si="29"/>
        <v>0</v>
      </c>
      <c r="AE49" s="70">
        <f t="shared" si="29"/>
        <v>0</v>
      </c>
      <c r="AF49" s="70">
        <f t="shared" si="29"/>
        <v>0</v>
      </c>
      <c r="AG49" s="618">
        <f t="shared" si="29"/>
        <v>0</v>
      </c>
      <c r="AH49" s="88"/>
      <c r="AI49" s="613">
        <f t="shared" si="34"/>
        <v>0</v>
      </c>
      <c r="AJ49" s="92">
        <f t="shared" si="34"/>
        <v>0</v>
      </c>
      <c r="AK49" s="92">
        <f t="shared" si="34"/>
        <v>0</v>
      </c>
      <c r="AL49" s="92">
        <f t="shared" si="34"/>
        <v>0</v>
      </c>
      <c r="AM49" s="92">
        <f t="shared" si="34"/>
        <v>0</v>
      </c>
      <c r="AN49" s="92">
        <f t="shared" si="34"/>
        <v>0</v>
      </c>
      <c r="AO49" s="92">
        <f t="shared" si="34"/>
        <v>0</v>
      </c>
      <c r="AP49" s="92">
        <f t="shared" si="34"/>
        <v>0</v>
      </c>
      <c r="AQ49" s="621">
        <f t="shared" si="34"/>
        <v>0</v>
      </c>
      <c r="AR49" s="621">
        <f t="shared" si="34"/>
        <v>0</v>
      </c>
    </row>
    <row r="50" spans="2:44">
      <c r="B50" s="176"/>
      <c r="C50" s="179"/>
      <c r="D50" s="70">
        <f t="shared" si="31"/>
        <v>100</v>
      </c>
      <c r="E50" s="179">
        <v>100</v>
      </c>
      <c r="F50" s="179"/>
      <c r="G50" s="179"/>
      <c r="H50" s="179"/>
      <c r="I50" s="179"/>
      <c r="J50" s="179"/>
      <c r="K50" s="179"/>
      <c r="L50" s="179"/>
      <c r="M50" s="179"/>
      <c r="N50" s="179"/>
      <c r="X50" s="70">
        <f t="shared" si="32"/>
        <v>1</v>
      </c>
      <c r="Y50" s="70">
        <f t="shared" si="29"/>
        <v>0</v>
      </c>
      <c r="Z50" s="70">
        <f t="shared" si="29"/>
        <v>0</v>
      </c>
      <c r="AA50" s="70">
        <f t="shared" si="29"/>
        <v>0</v>
      </c>
      <c r="AB50" s="70">
        <f t="shared" si="29"/>
        <v>0</v>
      </c>
      <c r="AC50" s="70">
        <f t="shared" si="29"/>
        <v>0</v>
      </c>
      <c r="AD50" s="70">
        <f t="shared" si="29"/>
        <v>0</v>
      </c>
      <c r="AE50" s="70">
        <f t="shared" si="29"/>
        <v>0</v>
      </c>
      <c r="AF50" s="70">
        <f t="shared" si="29"/>
        <v>0</v>
      </c>
      <c r="AG50" s="618">
        <f t="shared" si="29"/>
        <v>0</v>
      </c>
      <c r="AH50" s="88"/>
      <c r="AI50" s="613">
        <f t="shared" si="33"/>
        <v>0</v>
      </c>
      <c r="AJ50" s="92">
        <f t="shared" si="30"/>
        <v>0</v>
      </c>
      <c r="AK50" s="92">
        <f t="shared" si="30"/>
        <v>0</v>
      </c>
      <c r="AL50" s="92">
        <f t="shared" si="30"/>
        <v>0</v>
      </c>
      <c r="AM50" s="92">
        <f t="shared" si="30"/>
        <v>0</v>
      </c>
      <c r="AN50" s="92">
        <f t="shared" si="30"/>
        <v>0</v>
      </c>
      <c r="AO50" s="92">
        <f t="shared" si="30"/>
        <v>0</v>
      </c>
      <c r="AP50" s="92">
        <f t="shared" si="30"/>
        <v>0</v>
      </c>
      <c r="AQ50" s="621">
        <f t="shared" si="30"/>
        <v>0</v>
      </c>
      <c r="AR50" s="621">
        <f t="shared" si="30"/>
        <v>0</v>
      </c>
    </row>
    <row r="51" spans="2:44">
      <c r="B51" s="176"/>
      <c r="C51" s="179"/>
      <c r="D51" s="70">
        <f t="shared" si="31"/>
        <v>100</v>
      </c>
      <c r="E51" s="179">
        <v>100</v>
      </c>
      <c r="F51" s="179"/>
      <c r="G51" s="179"/>
      <c r="H51" s="179"/>
      <c r="I51" s="179"/>
      <c r="J51" s="179"/>
      <c r="K51" s="179"/>
      <c r="L51" s="179"/>
      <c r="M51" s="179"/>
      <c r="N51" s="179"/>
      <c r="X51" s="70">
        <f t="shared" si="32"/>
        <v>1</v>
      </c>
      <c r="Y51" s="70">
        <f t="shared" si="29"/>
        <v>0</v>
      </c>
      <c r="Z51" s="70">
        <f t="shared" si="29"/>
        <v>0</v>
      </c>
      <c r="AA51" s="70">
        <f t="shared" si="29"/>
        <v>0</v>
      </c>
      <c r="AB51" s="70">
        <f t="shared" si="29"/>
        <v>0</v>
      </c>
      <c r="AC51" s="70">
        <f t="shared" si="29"/>
        <v>0</v>
      </c>
      <c r="AD51" s="70">
        <f t="shared" si="29"/>
        <v>0</v>
      </c>
      <c r="AE51" s="70">
        <f t="shared" si="29"/>
        <v>0</v>
      </c>
      <c r="AF51" s="70">
        <f t="shared" si="29"/>
        <v>0</v>
      </c>
      <c r="AG51" s="618">
        <f t="shared" si="29"/>
        <v>0</v>
      </c>
      <c r="AH51" s="88"/>
      <c r="AI51" s="613">
        <f t="shared" si="33"/>
        <v>0</v>
      </c>
      <c r="AJ51" s="92">
        <f t="shared" si="30"/>
        <v>0</v>
      </c>
      <c r="AK51" s="92">
        <f t="shared" si="30"/>
        <v>0</v>
      </c>
      <c r="AL51" s="92">
        <f t="shared" si="30"/>
        <v>0</v>
      </c>
      <c r="AM51" s="92">
        <f t="shared" si="30"/>
        <v>0</v>
      </c>
      <c r="AN51" s="92">
        <f t="shared" si="30"/>
        <v>0</v>
      </c>
      <c r="AO51" s="92">
        <f t="shared" si="30"/>
        <v>0</v>
      </c>
      <c r="AP51" s="92">
        <f t="shared" si="30"/>
        <v>0</v>
      </c>
      <c r="AQ51" s="621">
        <f t="shared" si="30"/>
        <v>0</v>
      </c>
      <c r="AR51" s="621">
        <f t="shared" si="30"/>
        <v>0</v>
      </c>
    </row>
    <row r="52" spans="2:44">
      <c r="B52" s="176"/>
      <c r="C52" s="179"/>
      <c r="D52" s="70">
        <f t="shared" si="31"/>
        <v>100</v>
      </c>
      <c r="E52" s="179">
        <v>100</v>
      </c>
      <c r="F52" s="179"/>
      <c r="G52" s="179"/>
      <c r="H52" s="179"/>
      <c r="I52" s="179"/>
      <c r="J52" s="179"/>
      <c r="K52" s="179"/>
      <c r="L52" s="179"/>
      <c r="M52" s="179"/>
      <c r="N52" s="179"/>
      <c r="X52" s="70">
        <f t="shared" si="32"/>
        <v>1</v>
      </c>
      <c r="Y52" s="70">
        <f t="shared" si="29"/>
        <v>0</v>
      </c>
      <c r="Z52" s="70">
        <f t="shared" si="29"/>
        <v>0</v>
      </c>
      <c r="AA52" s="70">
        <f t="shared" si="29"/>
        <v>0</v>
      </c>
      <c r="AB52" s="70">
        <f t="shared" si="29"/>
        <v>0</v>
      </c>
      <c r="AC52" s="70">
        <f t="shared" si="29"/>
        <v>0</v>
      </c>
      <c r="AD52" s="70">
        <f t="shared" si="29"/>
        <v>0</v>
      </c>
      <c r="AE52" s="70">
        <f t="shared" si="29"/>
        <v>0</v>
      </c>
      <c r="AF52" s="70">
        <f t="shared" si="29"/>
        <v>0</v>
      </c>
      <c r="AG52" s="618">
        <f t="shared" si="29"/>
        <v>0</v>
      </c>
      <c r="AH52" s="88"/>
      <c r="AI52" s="613">
        <f t="shared" si="33"/>
        <v>0</v>
      </c>
      <c r="AJ52" s="92">
        <f t="shared" si="30"/>
        <v>0</v>
      </c>
      <c r="AK52" s="92">
        <f t="shared" si="30"/>
        <v>0</v>
      </c>
      <c r="AL52" s="92">
        <f t="shared" si="30"/>
        <v>0</v>
      </c>
      <c r="AM52" s="92">
        <f t="shared" si="30"/>
        <v>0</v>
      </c>
      <c r="AN52" s="92">
        <f t="shared" si="30"/>
        <v>0</v>
      </c>
      <c r="AO52" s="92">
        <f t="shared" si="30"/>
        <v>0</v>
      </c>
      <c r="AP52" s="92">
        <f t="shared" si="30"/>
        <v>0</v>
      </c>
      <c r="AQ52" s="621">
        <f t="shared" si="30"/>
        <v>0</v>
      </c>
      <c r="AR52" s="621">
        <f t="shared" si="30"/>
        <v>0</v>
      </c>
    </row>
    <row r="53" spans="2:44">
      <c r="B53" s="176"/>
      <c r="C53" s="179"/>
      <c r="D53" s="70">
        <f t="shared" si="31"/>
        <v>100</v>
      </c>
      <c r="E53" s="179">
        <v>100</v>
      </c>
      <c r="F53" s="179"/>
      <c r="G53" s="179"/>
      <c r="H53" s="179"/>
      <c r="I53" s="179"/>
      <c r="J53" s="179"/>
      <c r="K53" s="179"/>
      <c r="L53" s="179"/>
      <c r="M53" s="179"/>
      <c r="N53" s="179"/>
      <c r="X53" s="70">
        <f t="shared" si="32"/>
        <v>1</v>
      </c>
      <c r="Y53" s="70">
        <f t="shared" si="29"/>
        <v>0</v>
      </c>
      <c r="Z53" s="70">
        <f t="shared" si="29"/>
        <v>0</v>
      </c>
      <c r="AA53" s="70">
        <f t="shared" si="29"/>
        <v>0</v>
      </c>
      <c r="AB53" s="70">
        <f t="shared" si="29"/>
        <v>0</v>
      </c>
      <c r="AC53" s="70">
        <f t="shared" si="29"/>
        <v>0</v>
      </c>
      <c r="AD53" s="70">
        <f t="shared" si="29"/>
        <v>0</v>
      </c>
      <c r="AE53" s="70">
        <f t="shared" si="29"/>
        <v>0</v>
      </c>
      <c r="AF53" s="70">
        <f t="shared" si="29"/>
        <v>0</v>
      </c>
      <c r="AG53" s="618">
        <f t="shared" si="29"/>
        <v>0</v>
      </c>
      <c r="AH53" s="88"/>
      <c r="AI53" s="613">
        <f t="shared" si="33"/>
        <v>0</v>
      </c>
      <c r="AJ53" s="92">
        <f t="shared" si="30"/>
        <v>0</v>
      </c>
      <c r="AK53" s="92">
        <f t="shared" si="30"/>
        <v>0</v>
      </c>
      <c r="AL53" s="92">
        <f t="shared" si="30"/>
        <v>0</v>
      </c>
      <c r="AM53" s="92">
        <f t="shared" si="30"/>
        <v>0</v>
      </c>
      <c r="AN53" s="92">
        <f t="shared" si="30"/>
        <v>0</v>
      </c>
      <c r="AO53" s="92">
        <f t="shared" si="30"/>
        <v>0</v>
      </c>
      <c r="AP53" s="92">
        <f t="shared" si="30"/>
        <v>0</v>
      </c>
      <c r="AQ53" s="621">
        <f t="shared" si="30"/>
        <v>0</v>
      </c>
      <c r="AR53" s="621">
        <f t="shared" si="30"/>
        <v>0</v>
      </c>
    </row>
    <row r="54" spans="2:44">
      <c r="B54" s="176"/>
      <c r="C54" s="179"/>
      <c r="D54" s="70">
        <f t="shared" si="31"/>
        <v>100</v>
      </c>
      <c r="E54" s="179">
        <v>100</v>
      </c>
      <c r="F54" s="179"/>
      <c r="G54" s="179"/>
      <c r="H54" s="179"/>
      <c r="I54" s="179"/>
      <c r="J54" s="179"/>
      <c r="K54" s="179"/>
      <c r="L54" s="179"/>
      <c r="M54" s="179"/>
      <c r="N54" s="179"/>
      <c r="X54" s="70">
        <f t="shared" si="32"/>
        <v>1</v>
      </c>
      <c r="Y54" s="70">
        <f t="shared" si="29"/>
        <v>0</v>
      </c>
      <c r="Z54" s="70">
        <f t="shared" si="29"/>
        <v>0</v>
      </c>
      <c r="AA54" s="70">
        <f t="shared" si="29"/>
        <v>0</v>
      </c>
      <c r="AB54" s="70">
        <f t="shared" si="29"/>
        <v>0</v>
      </c>
      <c r="AC54" s="70">
        <f t="shared" si="29"/>
        <v>0</v>
      </c>
      <c r="AD54" s="70">
        <f t="shared" si="29"/>
        <v>0</v>
      </c>
      <c r="AE54" s="70">
        <f t="shared" si="29"/>
        <v>0</v>
      </c>
      <c r="AF54" s="70">
        <f t="shared" si="29"/>
        <v>0</v>
      </c>
      <c r="AG54" s="618">
        <f t="shared" si="29"/>
        <v>0</v>
      </c>
      <c r="AH54" s="88"/>
      <c r="AI54" s="613">
        <f t="shared" si="33"/>
        <v>0</v>
      </c>
      <c r="AJ54" s="92">
        <f t="shared" si="30"/>
        <v>0</v>
      </c>
      <c r="AK54" s="92">
        <f t="shared" si="30"/>
        <v>0</v>
      </c>
      <c r="AL54" s="92">
        <f t="shared" si="30"/>
        <v>0</v>
      </c>
      <c r="AM54" s="92">
        <f t="shared" si="30"/>
        <v>0</v>
      </c>
      <c r="AN54" s="92">
        <f t="shared" si="30"/>
        <v>0</v>
      </c>
      <c r="AO54" s="92">
        <f t="shared" si="30"/>
        <v>0</v>
      </c>
      <c r="AP54" s="92">
        <f t="shared" si="30"/>
        <v>0</v>
      </c>
      <c r="AQ54" s="621">
        <f t="shared" si="30"/>
        <v>0</v>
      </c>
      <c r="AR54" s="621">
        <f t="shared" si="30"/>
        <v>0</v>
      </c>
    </row>
    <row r="55" spans="2:44">
      <c r="B55" s="95" t="s">
        <v>56</v>
      </c>
      <c r="C55" s="69">
        <f>SUM(C45:C54)</f>
        <v>0</v>
      </c>
      <c r="D55" s="65"/>
      <c r="E55" s="69">
        <f>SUM(AI45:AI54)</f>
        <v>0</v>
      </c>
      <c r="F55" s="69">
        <f t="shared" ref="F55:N55" si="35">SUM(AJ45:AJ54)</f>
        <v>0</v>
      </c>
      <c r="G55" s="69">
        <f t="shared" si="35"/>
        <v>0</v>
      </c>
      <c r="H55" s="69">
        <f t="shared" si="35"/>
        <v>0</v>
      </c>
      <c r="I55" s="69">
        <f t="shared" si="35"/>
        <v>0</v>
      </c>
      <c r="J55" s="69">
        <f t="shared" si="35"/>
        <v>0</v>
      </c>
      <c r="K55" s="69">
        <f t="shared" si="35"/>
        <v>0</v>
      </c>
      <c r="L55" s="69">
        <f t="shared" si="35"/>
        <v>0</v>
      </c>
      <c r="M55" s="69">
        <f t="shared" si="35"/>
        <v>0</v>
      </c>
      <c r="N55" s="69">
        <f t="shared" si="35"/>
        <v>0</v>
      </c>
      <c r="AQ55" s="615"/>
      <c r="AR55" s="615"/>
    </row>
    <row r="56" spans="2:44">
      <c r="B56" s="68"/>
      <c r="C56" s="88"/>
      <c r="D56" s="88"/>
      <c r="E56" s="88"/>
      <c r="F56" s="88"/>
      <c r="G56" s="88"/>
      <c r="H56" s="88"/>
      <c r="I56" s="88"/>
      <c r="J56" s="88"/>
      <c r="K56" s="88"/>
      <c r="L56" s="88"/>
      <c r="M56" s="68"/>
      <c r="X56" s="64" t="str">
        <f>B57</f>
        <v>BUILDING &amp; FENCING REPAIRS</v>
      </c>
      <c r="AQ56" s="615"/>
      <c r="AR56" s="615"/>
    </row>
    <row r="57" spans="2:44" s="67" customFormat="1" ht="26.25" customHeight="1">
      <c r="B57" s="489" t="s">
        <v>558</v>
      </c>
      <c r="C57" s="508" t="s">
        <v>11</v>
      </c>
      <c r="D57" s="509" t="s">
        <v>391</v>
      </c>
      <c r="E57" s="492" t="str">
        <f>IF('About My Ranch'!$D$6="X","Cow-Calf","")</f>
        <v>Cow-Calf</v>
      </c>
      <c r="F57" s="492" t="str">
        <f>IF('About My Ranch'!$D$7="X","Repl Hfr","")</f>
        <v/>
      </c>
      <c r="G57" s="492" t="str">
        <f>IF('About My Ranch'!$D$9="X","Bckgrdr","")</f>
        <v/>
      </c>
      <c r="H57" s="492" t="str">
        <f>IF('About My Ranch'!$D$10="X","Grasser","")</f>
        <v/>
      </c>
      <c r="I57" s="492" t="str">
        <f>IF('About My Ranch'!$D$11="x","Finisher","")</f>
        <v/>
      </c>
      <c r="J57" s="492" t="str">
        <f>IF('About My Ranch'!$D$12="X","Forage","")</f>
        <v/>
      </c>
      <c r="K57" s="492" t="str">
        <f>IF('About My Ranch'!$D$13="x","Grazing","")</f>
        <v/>
      </c>
      <c r="L57" s="492" t="str">
        <f>IF('About My Ranch'!$D$14="x","Grain","")</f>
        <v/>
      </c>
      <c r="M57" s="492" t="str">
        <f>IF('About My Ranch'!$D$15="x",'About My Ranch'!D57,"")</f>
        <v/>
      </c>
      <c r="N57" s="610" t="str">
        <f>IF('About My Ranch'!$D$8="x","Ranch-Raised Bull","")</f>
        <v/>
      </c>
      <c r="X57" s="102" t="str">
        <f t="shared" ref="X57:AG57" si="36">E57</f>
        <v>Cow-Calf</v>
      </c>
      <c r="Y57" s="102" t="str">
        <f t="shared" si="36"/>
        <v/>
      </c>
      <c r="Z57" s="102" t="str">
        <f t="shared" si="36"/>
        <v/>
      </c>
      <c r="AA57" s="102" t="str">
        <f t="shared" si="36"/>
        <v/>
      </c>
      <c r="AB57" s="102" t="str">
        <f t="shared" si="36"/>
        <v/>
      </c>
      <c r="AC57" s="102" t="str">
        <f t="shared" si="36"/>
        <v/>
      </c>
      <c r="AD57" s="102" t="str">
        <f t="shared" si="36"/>
        <v/>
      </c>
      <c r="AE57" s="102" t="str">
        <f t="shared" si="36"/>
        <v/>
      </c>
      <c r="AF57" s="102" t="str">
        <f t="shared" si="36"/>
        <v/>
      </c>
      <c r="AG57" s="617" t="str">
        <f t="shared" si="36"/>
        <v/>
      </c>
      <c r="AH57" s="95"/>
      <c r="AI57" s="612" t="str">
        <f t="shared" ref="AI57:AR57" si="37">E57</f>
        <v>Cow-Calf</v>
      </c>
      <c r="AJ57" s="102" t="str">
        <f t="shared" si="37"/>
        <v/>
      </c>
      <c r="AK57" s="102" t="str">
        <f t="shared" si="37"/>
        <v/>
      </c>
      <c r="AL57" s="102" t="str">
        <f t="shared" si="37"/>
        <v/>
      </c>
      <c r="AM57" s="102" t="str">
        <f t="shared" si="37"/>
        <v/>
      </c>
      <c r="AN57" s="102" t="str">
        <f t="shared" si="37"/>
        <v/>
      </c>
      <c r="AO57" s="102" t="str">
        <f t="shared" si="37"/>
        <v/>
      </c>
      <c r="AP57" s="102" t="str">
        <f t="shared" si="37"/>
        <v/>
      </c>
      <c r="AQ57" s="620" t="str">
        <f t="shared" si="37"/>
        <v/>
      </c>
      <c r="AR57" s="620" t="str">
        <f t="shared" si="37"/>
        <v/>
      </c>
    </row>
    <row r="58" spans="2:44">
      <c r="B58" s="176" t="s">
        <v>25</v>
      </c>
      <c r="C58" s="182"/>
      <c r="D58" s="70">
        <f>SUM(E58:N58)</f>
        <v>100</v>
      </c>
      <c r="E58" s="179">
        <v>100</v>
      </c>
      <c r="F58" s="179"/>
      <c r="G58" s="179"/>
      <c r="H58" s="179"/>
      <c r="I58" s="179"/>
      <c r="J58" s="179"/>
      <c r="K58" s="179"/>
      <c r="L58" s="179"/>
      <c r="M58" s="179"/>
      <c r="N58" s="179"/>
      <c r="X58" s="70">
        <f>E58/$D58</f>
        <v>1</v>
      </c>
      <c r="Y58" s="70">
        <f t="shared" ref="Y58:AG61" si="38">F58/$D58</f>
        <v>0</v>
      </c>
      <c r="Z58" s="70">
        <f t="shared" si="38"/>
        <v>0</v>
      </c>
      <c r="AA58" s="70">
        <f t="shared" si="38"/>
        <v>0</v>
      </c>
      <c r="AB58" s="70">
        <f t="shared" si="38"/>
        <v>0</v>
      </c>
      <c r="AC58" s="70">
        <f t="shared" si="38"/>
        <v>0</v>
      </c>
      <c r="AD58" s="70">
        <f t="shared" si="38"/>
        <v>0</v>
      </c>
      <c r="AE58" s="70">
        <f t="shared" si="38"/>
        <v>0</v>
      </c>
      <c r="AF58" s="70">
        <f t="shared" si="38"/>
        <v>0</v>
      </c>
      <c r="AG58" s="618">
        <f t="shared" si="38"/>
        <v>0</v>
      </c>
      <c r="AH58" s="88"/>
      <c r="AI58" s="613">
        <f t="shared" ref="AI58:AP61" si="39">X58*$C58</f>
        <v>0</v>
      </c>
      <c r="AJ58" s="92">
        <f t="shared" si="39"/>
        <v>0</v>
      </c>
      <c r="AK58" s="92">
        <f t="shared" si="39"/>
        <v>0</v>
      </c>
      <c r="AL58" s="92">
        <f t="shared" si="39"/>
        <v>0</v>
      </c>
      <c r="AM58" s="92">
        <f t="shared" si="39"/>
        <v>0</v>
      </c>
      <c r="AN58" s="92">
        <f t="shared" si="39"/>
        <v>0</v>
      </c>
      <c r="AO58" s="92">
        <f t="shared" si="39"/>
        <v>0</v>
      </c>
      <c r="AP58" s="92">
        <f t="shared" si="39"/>
        <v>0</v>
      </c>
      <c r="AQ58" s="621">
        <f t="shared" ref="AQ58:AR61" si="40">AF58*$C58</f>
        <v>0</v>
      </c>
      <c r="AR58" s="621">
        <f t="shared" si="40"/>
        <v>0</v>
      </c>
    </row>
    <row r="59" spans="2:44">
      <c r="B59" s="191" t="s">
        <v>194</v>
      </c>
      <c r="C59" s="179"/>
      <c r="D59" s="70">
        <f>SUM(E59:N59)</f>
        <v>100</v>
      </c>
      <c r="E59" s="179"/>
      <c r="F59" s="179"/>
      <c r="G59" s="179"/>
      <c r="H59" s="179"/>
      <c r="I59" s="179"/>
      <c r="J59" s="179"/>
      <c r="K59" s="179">
        <v>100</v>
      </c>
      <c r="L59" s="179"/>
      <c r="M59" s="179"/>
      <c r="N59" s="179"/>
      <c r="X59" s="70">
        <f>E59/$D59</f>
        <v>0</v>
      </c>
      <c r="Y59" s="70">
        <f t="shared" si="38"/>
        <v>0</v>
      </c>
      <c r="Z59" s="70">
        <f t="shared" si="38"/>
        <v>0</v>
      </c>
      <c r="AA59" s="70">
        <f t="shared" si="38"/>
        <v>0</v>
      </c>
      <c r="AB59" s="70">
        <f t="shared" si="38"/>
        <v>0</v>
      </c>
      <c r="AC59" s="70">
        <f t="shared" si="38"/>
        <v>0</v>
      </c>
      <c r="AD59" s="70">
        <f t="shared" si="38"/>
        <v>1</v>
      </c>
      <c r="AE59" s="70">
        <f t="shared" si="38"/>
        <v>0</v>
      </c>
      <c r="AF59" s="70">
        <f t="shared" si="38"/>
        <v>0</v>
      </c>
      <c r="AG59" s="618">
        <f t="shared" si="38"/>
        <v>0</v>
      </c>
      <c r="AH59" s="88"/>
      <c r="AI59" s="613">
        <f t="shared" si="39"/>
        <v>0</v>
      </c>
      <c r="AJ59" s="92">
        <f t="shared" si="39"/>
        <v>0</v>
      </c>
      <c r="AK59" s="92">
        <f t="shared" si="39"/>
        <v>0</v>
      </c>
      <c r="AL59" s="92">
        <f t="shared" si="39"/>
        <v>0</v>
      </c>
      <c r="AM59" s="92">
        <f t="shared" si="39"/>
        <v>0</v>
      </c>
      <c r="AN59" s="92">
        <f t="shared" si="39"/>
        <v>0</v>
      </c>
      <c r="AO59" s="92">
        <f t="shared" si="39"/>
        <v>0</v>
      </c>
      <c r="AP59" s="92">
        <f t="shared" si="39"/>
        <v>0</v>
      </c>
      <c r="AQ59" s="621">
        <f t="shared" si="40"/>
        <v>0</v>
      </c>
      <c r="AR59" s="621">
        <f t="shared" si="40"/>
        <v>0</v>
      </c>
    </row>
    <row r="60" spans="2:44">
      <c r="B60" s="176"/>
      <c r="C60" s="179"/>
      <c r="D60" s="70">
        <f>SUM(E60:N60)</f>
        <v>100</v>
      </c>
      <c r="E60" s="179">
        <v>100</v>
      </c>
      <c r="F60" s="179"/>
      <c r="G60" s="179"/>
      <c r="H60" s="179"/>
      <c r="I60" s="179"/>
      <c r="J60" s="179"/>
      <c r="K60" s="179"/>
      <c r="L60" s="179"/>
      <c r="M60" s="179"/>
      <c r="N60" s="179"/>
      <c r="X60" s="70">
        <f>E60/$D60</f>
        <v>1</v>
      </c>
      <c r="Y60" s="70">
        <f t="shared" si="38"/>
        <v>0</v>
      </c>
      <c r="Z60" s="70">
        <f t="shared" si="38"/>
        <v>0</v>
      </c>
      <c r="AA60" s="70">
        <f t="shared" si="38"/>
        <v>0</v>
      </c>
      <c r="AB60" s="70">
        <f t="shared" si="38"/>
        <v>0</v>
      </c>
      <c r="AC60" s="70">
        <f t="shared" si="38"/>
        <v>0</v>
      </c>
      <c r="AD60" s="70">
        <f t="shared" si="38"/>
        <v>0</v>
      </c>
      <c r="AE60" s="70">
        <f t="shared" si="38"/>
        <v>0</v>
      </c>
      <c r="AF60" s="70">
        <f t="shared" si="38"/>
        <v>0</v>
      </c>
      <c r="AG60" s="618">
        <f t="shared" si="38"/>
        <v>0</v>
      </c>
      <c r="AH60" s="88"/>
      <c r="AI60" s="613">
        <f t="shared" si="39"/>
        <v>0</v>
      </c>
      <c r="AJ60" s="92">
        <f t="shared" si="39"/>
        <v>0</v>
      </c>
      <c r="AK60" s="92">
        <f t="shared" si="39"/>
        <v>0</v>
      </c>
      <c r="AL60" s="92">
        <f t="shared" si="39"/>
        <v>0</v>
      </c>
      <c r="AM60" s="92">
        <f t="shared" si="39"/>
        <v>0</v>
      </c>
      <c r="AN60" s="92">
        <f t="shared" si="39"/>
        <v>0</v>
      </c>
      <c r="AO60" s="92">
        <f t="shared" si="39"/>
        <v>0</v>
      </c>
      <c r="AP60" s="92">
        <f t="shared" si="39"/>
        <v>0</v>
      </c>
      <c r="AQ60" s="621">
        <f t="shared" si="40"/>
        <v>0</v>
      </c>
      <c r="AR60" s="621">
        <f t="shared" si="40"/>
        <v>0</v>
      </c>
    </row>
    <row r="61" spans="2:44">
      <c r="B61" s="176"/>
      <c r="C61" s="179"/>
      <c r="D61" s="70">
        <f>SUM(E61:N61)</f>
        <v>100</v>
      </c>
      <c r="E61" s="179">
        <v>100</v>
      </c>
      <c r="F61" s="179"/>
      <c r="G61" s="179"/>
      <c r="H61" s="179"/>
      <c r="I61" s="179"/>
      <c r="J61" s="179"/>
      <c r="K61" s="179"/>
      <c r="L61" s="179"/>
      <c r="M61" s="179"/>
      <c r="N61" s="179"/>
      <c r="X61" s="70">
        <f>E61/$D61</f>
        <v>1</v>
      </c>
      <c r="Y61" s="70">
        <f t="shared" si="38"/>
        <v>0</v>
      </c>
      <c r="Z61" s="70">
        <f t="shared" si="38"/>
        <v>0</v>
      </c>
      <c r="AA61" s="70">
        <f t="shared" si="38"/>
        <v>0</v>
      </c>
      <c r="AB61" s="70">
        <f t="shared" si="38"/>
        <v>0</v>
      </c>
      <c r="AC61" s="70">
        <f t="shared" si="38"/>
        <v>0</v>
      </c>
      <c r="AD61" s="70">
        <f t="shared" si="38"/>
        <v>0</v>
      </c>
      <c r="AE61" s="70">
        <f t="shared" si="38"/>
        <v>0</v>
      </c>
      <c r="AF61" s="70">
        <f t="shared" si="38"/>
        <v>0</v>
      </c>
      <c r="AG61" s="618">
        <f t="shared" si="38"/>
        <v>0</v>
      </c>
      <c r="AH61" s="88"/>
      <c r="AI61" s="613">
        <f t="shared" si="39"/>
        <v>0</v>
      </c>
      <c r="AJ61" s="92">
        <f t="shared" si="39"/>
        <v>0</v>
      </c>
      <c r="AK61" s="92">
        <f t="shared" si="39"/>
        <v>0</v>
      </c>
      <c r="AL61" s="92">
        <f t="shared" si="39"/>
        <v>0</v>
      </c>
      <c r="AM61" s="92">
        <f t="shared" si="39"/>
        <v>0</v>
      </c>
      <c r="AN61" s="92">
        <f t="shared" si="39"/>
        <v>0</v>
      </c>
      <c r="AO61" s="92">
        <f t="shared" si="39"/>
        <v>0</v>
      </c>
      <c r="AP61" s="92">
        <f t="shared" si="39"/>
        <v>0</v>
      </c>
      <c r="AQ61" s="621">
        <f t="shared" si="40"/>
        <v>0</v>
      </c>
      <c r="AR61" s="621">
        <f t="shared" si="40"/>
        <v>0</v>
      </c>
    </row>
    <row r="62" spans="2:44">
      <c r="B62" s="95" t="s">
        <v>62</v>
      </c>
      <c r="C62" s="69">
        <f>SUM(C58:C61)</f>
        <v>0</v>
      </c>
      <c r="D62" s="65"/>
      <c r="E62" s="69">
        <f>SUM(AI58:AI61)</f>
        <v>0</v>
      </c>
      <c r="F62" s="69">
        <f t="shared" ref="F62:N62" si="41">SUM(AJ58:AJ61)</f>
        <v>0</v>
      </c>
      <c r="G62" s="69">
        <f t="shared" si="41"/>
        <v>0</v>
      </c>
      <c r="H62" s="69">
        <f t="shared" si="41"/>
        <v>0</v>
      </c>
      <c r="I62" s="69">
        <f t="shared" si="41"/>
        <v>0</v>
      </c>
      <c r="J62" s="69">
        <f t="shared" si="41"/>
        <v>0</v>
      </c>
      <c r="K62" s="69">
        <f t="shared" si="41"/>
        <v>0</v>
      </c>
      <c r="L62" s="69">
        <f t="shared" si="41"/>
        <v>0</v>
      </c>
      <c r="M62" s="69">
        <f t="shared" si="41"/>
        <v>0</v>
      </c>
      <c r="N62" s="69">
        <f t="shared" si="41"/>
        <v>0</v>
      </c>
      <c r="AQ62" s="615"/>
      <c r="AR62" s="615"/>
    </row>
    <row r="63" spans="2:44">
      <c r="B63" s="68"/>
      <c r="C63" s="88"/>
      <c r="D63" s="88"/>
      <c r="E63" s="88"/>
      <c r="F63" s="88"/>
      <c r="G63" s="88"/>
      <c r="H63" s="88"/>
      <c r="I63" s="88"/>
      <c r="J63" s="88"/>
      <c r="K63" s="88"/>
      <c r="L63" s="88"/>
      <c r="X63" s="64" t="str">
        <f>B64</f>
        <v>UTILITIES &amp; MISCELLANEOUS</v>
      </c>
      <c r="AQ63" s="615"/>
      <c r="AR63" s="615"/>
    </row>
    <row r="64" spans="2:44" s="67" customFormat="1" ht="23.25" customHeight="1">
      <c r="B64" s="489" t="s">
        <v>98</v>
      </c>
      <c r="C64" s="508" t="s">
        <v>11</v>
      </c>
      <c r="D64" s="509" t="s">
        <v>391</v>
      </c>
      <c r="E64" s="492" t="str">
        <f>IF('About My Ranch'!$D$6="X","Cow-Calf","")</f>
        <v>Cow-Calf</v>
      </c>
      <c r="F64" s="492" t="str">
        <f>IF('About My Ranch'!$D$7="X","Repl Hfr","")</f>
        <v/>
      </c>
      <c r="G64" s="492" t="str">
        <f>IF('About My Ranch'!$D$9="X","Bckgrdr","")</f>
        <v/>
      </c>
      <c r="H64" s="492" t="str">
        <f>IF('About My Ranch'!$D$10="X","Grasser","")</f>
        <v/>
      </c>
      <c r="I64" s="492" t="str">
        <f>IF('About My Ranch'!$D$11="x","Finisher","")</f>
        <v/>
      </c>
      <c r="J64" s="492" t="str">
        <f>IF('About My Ranch'!$D$12="X","Forage","")</f>
        <v/>
      </c>
      <c r="K64" s="492" t="str">
        <f>IF('About My Ranch'!$D$13="x","Grazing","")</f>
        <v/>
      </c>
      <c r="L64" s="492" t="str">
        <f>IF('About My Ranch'!$D$14="x","Grain","")</f>
        <v/>
      </c>
      <c r="M64" s="492" t="str">
        <f>IF('About My Ranch'!$D$15="x",'About My Ranch'!D64,"")</f>
        <v/>
      </c>
      <c r="N64" s="610" t="str">
        <f>IF('About My Ranch'!$D$8="x","Ranch-Raised Bull","")</f>
        <v/>
      </c>
      <c r="X64" s="102" t="str">
        <f t="shared" ref="X64:AG64" si="42">E64</f>
        <v>Cow-Calf</v>
      </c>
      <c r="Y64" s="102" t="str">
        <f t="shared" si="42"/>
        <v/>
      </c>
      <c r="Z64" s="102" t="str">
        <f t="shared" si="42"/>
        <v/>
      </c>
      <c r="AA64" s="102" t="str">
        <f t="shared" si="42"/>
        <v/>
      </c>
      <c r="AB64" s="102" t="str">
        <f t="shared" si="42"/>
        <v/>
      </c>
      <c r="AC64" s="102" t="str">
        <f t="shared" si="42"/>
        <v/>
      </c>
      <c r="AD64" s="102" t="str">
        <f t="shared" si="42"/>
        <v/>
      </c>
      <c r="AE64" s="102" t="str">
        <f t="shared" si="42"/>
        <v/>
      </c>
      <c r="AF64" s="102" t="str">
        <f t="shared" si="42"/>
        <v/>
      </c>
      <c r="AG64" s="617" t="str">
        <f t="shared" si="42"/>
        <v/>
      </c>
      <c r="AH64" s="95"/>
      <c r="AI64" s="612" t="str">
        <f t="shared" ref="AI64:AR64" si="43">E64</f>
        <v>Cow-Calf</v>
      </c>
      <c r="AJ64" s="102" t="str">
        <f t="shared" si="43"/>
        <v/>
      </c>
      <c r="AK64" s="102" t="str">
        <f t="shared" si="43"/>
        <v/>
      </c>
      <c r="AL64" s="102" t="str">
        <f t="shared" si="43"/>
        <v/>
      </c>
      <c r="AM64" s="102" t="str">
        <f t="shared" si="43"/>
        <v/>
      </c>
      <c r="AN64" s="102" t="str">
        <f t="shared" si="43"/>
        <v/>
      </c>
      <c r="AO64" s="102" t="str">
        <f t="shared" si="43"/>
        <v/>
      </c>
      <c r="AP64" s="102" t="str">
        <f t="shared" si="43"/>
        <v/>
      </c>
      <c r="AQ64" s="620" t="str">
        <f t="shared" si="43"/>
        <v/>
      </c>
      <c r="AR64" s="620" t="str">
        <f t="shared" si="43"/>
        <v/>
      </c>
    </row>
    <row r="65" spans="2:44">
      <c r="B65" s="176" t="s">
        <v>113</v>
      </c>
      <c r="C65" s="179"/>
      <c r="D65" s="70">
        <f t="shared" ref="D65:D74" si="44">SUM(E65:N65)</f>
        <v>0</v>
      </c>
      <c r="E65" s="179"/>
      <c r="F65" s="179"/>
      <c r="G65" s="179"/>
      <c r="H65" s="179"/>
      <c r="I65" s="179"/>
      <c r="J65" s="179"/>
      <c r="K65" s="179"/>
      <c r="L65" s="179"/>
      <c r="M65" s="179"/>
      <c r="N65" s="179"/>
      <c r="X65" s="70" t="e">
        <f>E65/$D65</f>
        <v>#DIV/0!</v>
      </c>
      <c r="Y65" s="70" t="e">
        <f t="shared" ref="Y65:AG74" si="45">F65/$D65</f>
        <v>#DIV/0!</v>
      </c>
      <c r="Z65" s="70" t="e">
        <f t="shared" si="45"/>
        <v>#DIV/0!</v>
      </c>
      <c r="AA65" s="70" t="e">
        <f t="shared" si="45"/>
        <v>#DIV/0!</v>
      </c>
      <c r="AB65" s="70" t="e">
        <f t="shared" si="45"/>
        <v>#DIV/0!</v>
      </c>
      <c r="AC65" s="70" t="e">
        <f t="shared" si="45"/>
        <v>#DIV/0!</v>
      </c>
      <c r="AD65" s="70" t="e">
        <f t="shared" si="45"/>
        <v>#DIV/0!</v>
      </c>
      <c r="AE65" s="70" t="e">
        <f t="shared" si="45"/>
        <v>#DIV/0!</v>
      </c>
      <c r="AF65" s="70" t="e">
        <f t="shared" si="45"/>
        <v>#DIV/0!</v>
      </c>
      <c r="AG65" s="618" t="e">
        <f t="shared" si="45"/>
        <v>#DIV/0!</v>
      </c>
      <c r="AH65" s="88"/>
      <c r="AI65" s="613" t="e">
        <f t="shared" ref="AI65:AI74" si="46">X65*$C65</f>
        <v>#DIV/0!</v>
      </c>
      <c r="AJ65" s="92" t="e">
        <f t="shared" ref="AJ65:AJ74" si="47">Y65*$C65</f>
        <v>#DIV/0!</v>
      </c>
      <c r="AK65" s="92" t="e">
        <f t="shared" ref="AK65:AK74" si="48">Z65*$C65</f>
        <v>#DIV/0!</v>
      </c>
      <c r="AL65" s="92" t="e">
        <f t="shared" ref="AL65:AL74" si="49">AA65*$C65</f>
        <v>#DIV/0!</v>
      </c>
      <c r="AM65" s="92" t="e">
        <f t="shared" ref="AM65:AM74" si="50">AB65*$C65</f>
        <v>#DIV/0!</v>
      </c>
      <c r="AN65" s="92" t="e">
        <f t="shared" ref="AN65:AN74" si="51">AC65*$C65</f>
        <v>#DIV/0!</v>
      </c>
      <c r="AO65" s="92" t="e">
        <f t="shared" ref="AO65:AO74" si="52">AD65*$C65</f>
        <v>#DIV/0!</v>
      </c>
      <c r="AP65" s="92" t="e">
        <f t="shared" ref="AP65:AP74" si="53">AE65*$C65</f>
        <v>#DIV/0!</v>
      </c>
      <c r="AQ65" s="621" t="e">
        <f t="shared" ref="AQ65:AR74" si="54">AF65*$C65</f>
        <v>#DIV/0!</v>
      </c>
      <c r="AR65" s="621" t="e">
        <f t="shared" si="54"/>
        <v>#DIV/0!</v>
      </c>
    </row>
    <row r="66" spans="2:44">
      <c r="B66" s="176" t="s">
        <v>206</v>
      </c>
      <c r="C66" s="179"/>
      <c r="D66" s="70">
        <f t="shared" si="44"/>
        <v>0</v>
      </c>
      <c r="E66" s="179"/>
      <c r="F66" s="179"/>
      <c r="G66" s="179"/>
      <c r="H66" s="179"/>
      <c r="I66" s="179"/>
      <c r="J66" s="179"/>
      <c r="K66" s="179"/>
      <c r="L66" s="179"/>
      <c r="M66" s="179"/>
      <c r="N66" s="179"/>
      <c r="X66" s="70" t="e">
        <f t="shared" ref="X66:X74" si="55">E66/$D66</f>
        <v>#DIV/0!</v>
      </c>
      <c r="Y66" s="70" t="e">
        <f t="shared" si="45"/>
        <v>#DIV/0!</v>
      </c>
      <c r="Z66" s="70" t="e">
        <f t="shared" si="45"/>
        <v>#DIV/0!</v>
      </c>
      <c r="AA66" s="70" t="e">
        <f t="shared" si="45"/>
        <v>#DIV/0!</v>
      </c>
      <c r="AB66" s="70" t="e">
        <f t="shared" si="45"/>
        <v>#DIV/0!</v>
      </c>
      <c r="AC66" s="70" t="e">
        <f t="shared" si="45"/>
        <v>#DIV/0!</v>
      </c>
      <c r="AD66" s="70" t="e">
        <f t="shared" si="45"/>
        <v>#DIV/0!</v>
      </c>
      <c r="AE66" s="70" t="e">
        <f t="shared" si="45"/>
        <v>#DIV/0!</v>
      </c>
      <c r="AF66" s="70" t="e">
        <f t="shared" si="45"/>
        <v>#DIV/0!</v>
      </c>
      <c r="AG66" s="618" t="e">
        <f t="shared" si="45"/>
        <v>#DIV/0!</v>
      </c>
      <c r="AH66" s="88"/>
      <c r="AI66" s="613" t="e">
        <f t="shared" si="46"/>
        <v>#DIV/0!</v>
      </c>
      <c r="AJ66" s="92" t="e">
        <f t="shared" si="47"/>
        <v>#DIV/0!</v>
      </c>
      <c r="AK66" s="92" t="e">
        <f t="shared" si="48"/>
        <v>#DIV/0!</v>
      </c>
      <c r="AL66" s="92" t="e">
        <f t="shared" si="49"/>
        <v>#DIV/0!</v>
      </c>
      <c r="AM66" s="92" t="e">
        <f t="shared" si="50"/>
        <v>#DIV/0!</v>
      </c>
      <c r="AN66" s="92" t="e">
        <f t="shared" si="51"/>
        <v>#DIV/0!</v>
      </c>
      <c r="AO66" s="92" t="e">
        <f t="shared" si="52"/>
        <v>#DIV/0!</v>
      </c>
      <c r="AP66" s="92" t="e">
        <f t="shared" si="53"/>
        <v>#DIV/0!</v>
      </c>
      <c r="AQ66" s="621" t="e">
        <f t="shared" si="54"/>
        <v>#DIV/0!</v>
      </c>
      <c r="AR66" s="621" t="e">
        <f t="shared" si="54"/>
        <v>#DIV/0!</v>
      </c>
    </row>
    <row r="67" spans="2:44">
      <c r="B67" s="176" t="s">
        <v>423</v>
      </c>
      <c r="C67" s="179"/>
      <c r="D67" s="70">
        <f t="shared" si="44"/>
        <v>0</v>
      </c>
      <c r="E67" s="179"/>
      <c r="F67" s="179"/>
      <c r="G67" s="179"/>
      <c r="H67" s="179"/>
      <c r="I67" s="179"/>
      <c r="J67" s="179"/>
      <c r="K67" s="179"/>
      <c r="L67" s="179"/>
      <c r="M67" s="179"/>
      <c r="N67" s="179"/>
      <c r="X67" s="70" t="e">
        <f t="shared" si="55"/>
        <v>#DIV/0!</v>
      </c>
      <c r="Y67" s="70" t="e">
        <f t="shared" si="45"/>
        <v>#DIV/0!</v>
      </c>
      <c r="Z67" s="70" t="e">
        <f t="shared" si="45"/>
        <v>#DIV/0!</v>
      </c>
      <c r="AA67" s="70" t="e">
        <f t="shared" si="45"/>
        <v>#DIV/0!</v>
      </c>
      <c r="AB67" s="70" t="e">
        <f t="shared" si="45"/>
        <v>#DIV/0!</v>
      </c>
      <c r="AC67" s="70" t="e">
        <f t="shared" si="45"/>
        <v>#DIV/0!</v>
      </c>
      <c r="AD67" s="70" t="e">
        <f t="shared" si="45"/>
        <v>#DIV/0!</v>
      </c>
      <c r="AE67" s="70" t="e">
        <f t="shared" si="45"/>
        <v>#DIV/0!</v>
      </c>
      <c r="AF67" s="70" t="e">
        <f t="shared" si="45"/>
        <v>#DIV/0!</v>
      </c>
      <c r="AG67" s="618" t="e">
        <f t="shared" si="45"/>
        <v>#DIV/0!</v>
      </c>
      <c r="AH67" s="88"/>
      <c r="AI67" s="613" t="e">
        <f t="shared" si="46"/>
        <v>#DIV/0!</v>
      </c>
      <c r="AJ67" s="92" t="e">
        <f t="shared" si="47"/>
        <v>#DIV/0!</v>
      </c>
      <c r="AK67" s="92" t="e">
        <f t="shared" si="48"/>
        <v>#DIV/0!</v>
      </c>
      <c r="AL67" s="92" t="e">
        <f t="shared" si="49"/>
        <v>#DIV/0!</v>
      </c>
      <c r="AM67" s="92" t="e">
        <f t="shared" si="50"/>
        <v>#DIV/0!</v>
      </c>
      <c r="AN67" s="92" t="e">
        <f t="shared" si="51"/>
        <v>#DIV/0!</v>
      </c>
      <c r="AO67" s="92" t="e">
        <f t="shared" si="52"/>
        <v>#DIV/0!</v>
      </c>
      <c r="AP67" s="92" t="e">
        <f t="shared" si="53"/>
        <v>#DIV/0!</v>
      </c>
      <c r="AQ67" s="621" t="e">
        <f t="shared" si="54"/>
        <v>#DIV/0!</v>
      </c>
      <c r="AR67" s="621" t="e">
        <f t="shared" si="54"/>
        <v>#DIV/0!</v>
      </c>
    </row>
    <row r="68" spans="2:44">
      <c r="B68" s="176" t="s">
        <v>207</v>
      </c>
      <c r="C68" s="179"/>
      <c r="D68" s="70">
        <f t="shared" si="44"/>
        <v>0</v>
      </c>
      <c r="E68" s="179"/>
      <c r="F68" s="179"/>
      <c r="G68" s="179"/>
      <c r="H68" s="179"/>
      <c r="I68" s="179"/>
      <c r="J68" s="179"/>
      <c r="K68" s="179"/>
      <c r="L68" s="179"/>
      <c r="M68" s="179"/>
      <c r="N68" s="179"/>
      <c r="X68" s="70" t="e">
        <f t="shared" si="55"/>
        <v>#DIV/0!</v>
      </c>
      <c r="Y68" s="70" t="e">
        <f t="shared" si="45"/>
        <v>#DIV/0!</v>
      </c>
      <c r="Z68" s="70" t="e">
        <f t="shared" si="45"/>
        <v>#DIV/0!</v>
      </c>
      <c r="AA68" s="70" t="e">
        <f t="shared" si="45"/>
        <v>#DIV/0!</v>
      </c>
      <c r="AB68" s="70" t="e">
        <f t="shared" si="45"/>
        <v>#DIV/0!</v>
      </c>
      <c r="AC68" s="70" t="e">
        <f t="shared" si="45"/>
        <v>#DIV/0!</v>
      </c>
      <c r="AD68" s="70" t="e">
        <f t="shared" si="45"/>
        <v>#DIV/0!</v>
      </c>
      <c r="AE68" s="70" t="e">
        <f t="shared" si="45"/>
        <v>#DIV/0!</v>
      </c>
      <c r="AF68" s="70" t="e">
        <f t="shared" si="45"/>
        <v>#DIV/0!</v>
      </c>
      <c r="AG68" s="618" t="e">
        <f t="shared" si="45"/>
        <v>#DIV/0!</v>
      </c>
      <c r="AH68" s="88"/>
      <c r="AI68" s="613" t="e">
        <f t="shared" si="46"/>
        <v>#DIV/0!</v>
      </c>
      <c r="AJ68" s="92" t="e">
        <f t="shared" si="47"/>
        <v>#DIV/0!</v>
      </c>
      <c r="AK68" s="92" t="e">
        <f t="shared" si="48"/>
        <v>#DIV/0!</v>
      </c>
      <c r="AL68" s="92" t="e">
        <f t="shared" si="49"/>
        <v>#DIV/0!</v>
      </c>
      <c r="AM68" s="92" t="e">
        <f t="shared" si="50"/>
        <v>#DIV/0!</v>
      </c>
      <c r="AN68" s="92" t="e">
        <f t="shared" si="51"/>
        <v>#DIV/0!</v>
      </c>
      <c r="AO68" s="92" t="e">
        <f t="shared" si="52"/>
        <v>#DIV/0!</v>
      </c>
      <c r="AP68" s="92" t="e">
        <f t="shared" si="53"/>
        <v>#DIV/0!</v>
      </c>
      <c r="AQ68" s="621" t="e">
        <f t="shared" si="54"/>
        <v>#DIV/0!</v>
      </c>
      <c r="AR68" s="621" t="e">
        <f t="shared" si="54"/>
        <v>#DIV/0!</v>
      </c>
    </row>
    <row r="69" spans="2:44">
      <c r="B69" s="176" t="s">
        <v>114</v>
      </c>
      <c r="C69" s="179"/>
      <c r="D69" s="70">
        <f t="shared" si="44"/>
        <v>0</v>
      </c>
      <c r="E69" s="179"/>
      <c r="F69" s="179"/>
      <c r="G69" s="179"/>
      <c r="H69" s="179"/>
      <c r="I69" s="179"/>
      <c r="J69" s="179"/>
      <c r="K69" s="179"/>
      <c r="L69" s="179"/>
      <c r="M69" s="179"/>
      <c r="N69" s="179"/>
      <c r="X69" s="70" t="e">
        <f t="shared" si="55"/>
        <v>#DIV/0!</v>
      </c>
      <c r="Y69" s="70" t="e">
        <f t="shared" si="45"/>
        <v>#DIV/0!</v>
      </c>
      <c r="Z69" s="70" t="e">
        <f t="shared" si="45"/>
        <v>#DIV/0!</v>
      </c>
      <c r="AA69" s="70" t="e">
        <f t="shared" si="45"/>
        <v>#DIV/0!</v>
      </c>
      <c r="AB69" s="70" t="e">
        <f t="shared" si="45"/>
        <v>#DIV/0!</v>
      </c>
      <c r="AC69" s="70" t="e">
        <f t="shared" si="45"/>
        <v>#DIV/0!</v>
      </c>
      <c r="AD69" s="70" t="e">
        <f t="shared" si="45"/>
        <v>#DIV/0!</v>
      </c>
      <c r="AE69" s="70" t="e">
        <f t="shared" si="45"/>
        <v>#DIV/0!</v>
      </c>
      <c r="AF69" s="70" t="e">
        <f t="shared" si="45"/>
        <v>#DIV/0!</v>
      </c>
      <c r="AG69" s="618" t="e">
        <f t="shared" si="45"/>
        <v>#DIV/0!</v>
      </c>
      <c r="AH69" s="88"/>
      <c r="AI69" s="613" t="e">
        <f t="shared" si="46"/>
        <v>#DIV/0!</v>
      </c>
      <c r="AJ69" s="92" t="e">
        <f t="shared" si="47"/>
        <v>#DIV/0!</v>
      </c>
      <c r="AK69" s="92" t="e">
        <f t="shared" si="48"/>
        <v>#DIV/0!</v>
      </c>
      <c r="AL69" s="92" t="e">
        <f t="shared" si="49"/>
        <v>#DIV/0!</v>
      </c>
      <c r="AM69" s="92" t="e">
        <f t="shared" si="50"/>
        <v>#DIV/0!</v>
      </c>
      <c r="AN69" s="92" t="e">
        <f t="shared" si="51"/>
        <v>#DIV/0!</v>
      </c>
      <c r="AO69" s="92" t="e">
        <f t="shared" si="52"/>
        <v>#DIV/0!</v>
      </c>
      <c r="AP69" s="92" t="e">
        <f t="shared" si="53"/>
        <v>#DIV/0!</v>
      </c>
      <c r="AQ69" s="621" t="e">
        <f t="shared" si="54"/>
        <v>#DIV/0!</v>
      </c>
      <c r="AR69" s="621" t="e">
        <f t="shared" si="54"/>
        <v>#DIV/0!</v>
      </c>
    </row>
    <row r="70" spans="2:44">
      <c r="B70" s="176" t="s">
        <v>208</v>
      </c>
      <c r="C70" s="179"/>
      <c r="D70" s="70">
        <f t="shared" si="44"/>
        <v>0</v>
      </c>
      <c r="E70" s="179"/>
      <c r="F70" s="179"/>
      <c r="G70" s="179"/>
      <c r="H70" s="179"/>
      <c r="I70" s="179"/>
      <c r="J70" s="179"/>
      <c r="K70" s="179"/>
      <c r="L70" s="179"/>
      <c r="M70" s="179"/>
      <c r="N70" s="179"/>
      <c r="X70" s="70" t="e">
        <f t="shared" si="55"/>
        <v>#DIV/0!</v>
      </c>
      <c r="Y70" s="70" t="e">
        <f t="shared" si="45"/>
        <v>#DIV/0!</v>
      </c>
      <c r="Z70" s="70" t="e">
        <f t="shared" si="45"/>
        <v>#DIV/0!</v>
      </c>
      <c r="AA70" s="70" t="e">
        <f t="shared" si="45"/>
        <v>#DIV/0!</v>
      </c>
      <c r="AB70" s="70" t="e">
        <f t="shared" si="45"/>
        <v>#DIV/0!</v>
      </c>
      <c r="AC70" s="70" t="e">
        <f t="shared" si="45"/>
        <v>#DIV/0!</v>
      </c>
      <c r="AD70" s="70" t="e">
        <f t="shared" si="45"/>
        <v>#DIV/0!</v>
      </c>
      <c r="AE70" s="70" t="e">
        <f t="shared" si="45"/>
        <v>#DIV/0!</v>
      </c>
      <c r="AF70" s="70" t="e">
        <f t="shared" si="45"/>
        <v>#DIV/0!</v>
      </c>
      <c r="AG70" s="618" t="e">
        <f t="shared" si="45"/>
        <v>#DIV/0!</v>
      </c>
      <c r="AH70" s="88"/>
      <c r="AI70" s="613" t="e">
        <f t="shared" si="46"/>
        <v>#DIV/0!</v>
      </c>
      <c r="AJ70" s="92" t="e">
        <f t="shared" si="47"/>
        <v>#DIV/0!</v>
      </c>
      <c r="AK70" s="92" t="e">
        <f t="shared" si="48"/>
        <v>#DIV/0!</v>
      </c>
      <c r="AL70" s="92" t="e">
        <f t="shared" si="49"/>
        <v>#DIV/0!</v>
      </c>
      <c r="AM70" s="92" t="e">
        <f t="shared" si="50"/>
        <v>#DIV/0!</v>
      </c>
      <c r="AN70" s="92" t="e">
        <f t="shared" si="51"/>
        <v>#DIV/0!</v>
      </c>
      <c r="AO70" s="92" t="e">
        <f t="shared" si="52"/>
        <v>#DIV/0!</v>
      </c>
      <c r="AP70" s="92" t="e">
        <f t="shared" si="53"/>
        <v>#DIV/0!</v>
      </c>
      <c r="AQ70" s="621" t="e">
        <f t="shared" si="54"/>
        <v>#DIV/0!</v>
      </c>
      <c r="AR70" s="621" t="e">
        <f t="shared" si="54"/>
        <v>#DIV/0!</v>
      </c>
    </row>
    <row r="71" spans="2:44">
      <c r="B71" s="176" t="s">
        <v>214</v>
      </c>
      <c r="C71" s="179"/>
      <c r="D71" s="70">
        <f t="shared" si="44"/>
        <v>0</v>
      </c>
      <c r="E71" s="179"/>
      <c r="F71" s="179"/>
      <c r="G71" s="179"/>
      <c r="H71" s="179"/>
      <c r="I71" s="179"/>
      <c r="J71" s="179"/>
      <c r="K71" s="179"/>
      <c r="L71" s="179"/>
      <c r="M71" s="179"/>
      <c r="N71" s="179"/>
      <c r="X71" s="70" t="e">
        <f t="shared" si="55"/>
        <v>#DIV/0!</v>
      </c>
      <c r="Y71" s="70" t="e">
        <f t="shared" si="45"/>
        <v>#DIV/0!</v>
      </c>
      <c r="Z71" s="70" t="e">
        <f t="shared" si="45"/>
        <v>#DIV/0!</v>
      </c>
      <c r="AA71" s="70" t="e">
        <f t="shared" si="45"/>
        <v>#DIV/0!</v>
      </c>
      <c r="AB71" s="70" t="e">
        <f t="shared" si="45"/>
        <v>#DIV/0!</v>
      </c>
      <c r="AC71" s="70" t="e">
        <f t="shared" si="45"/>
        <v>#DIV/0!</v>
      </c>
      <c r="AD71" s="70" t="e">
        <f t="shared" si="45"/>
        <v>#DIV/0!</v>
      </c>
      <c r="AE71" s="70" t="e">
        <f t="shared" si="45"/>
        <v>#DIV/0!</v>
      </c>
      <c r="AF71" s="70" t="e">
        <f t="shared" si="45"/>
        <v>#DIV/0!</v>
      </c>
      <c r="AG71" s="618" t="e">
        <f t="shared" si="45"/>
        <v>#DIV/0!</v>
      </c>
      <c r="AH71" s="88"/>
      <c r="AI71" s="613" t="e">
        <f t="shared" si="46"/>
        <v>#DIV/0!</v>
      </c>
      <c r="AJ71" s="92" t="e">
        <f t="shared" si="47"/>
        <v>#DIV/0!</v>
      </c>
      <c r="AK71" s="92" t="e">
        <f t="shared" si="48"/>
        <v>#DIV/0!</v>
      </c>
      <c r="AL71" s="92" t="e">
        <f t="shared" si="49"/>
        <v>#DIV/0!</v>
      </c>
      <c r="AM71" s="92" t="e">
        <f t="shared" si="50"/>
        <v>#DIV/0!</v>
      </c>
      <c r="AN71" s="92" t="e">
        <f t="shared" si="51"/>
        <v>#DIV/0!</v>
      </c>
      <c r="AO71" s="92" t="e">
        <f t="shared" si="52"/>
        <v>#DIV/0!</v>
      </c>
      <c r="AP71" s="92" t="e">
        <f t="shared" si="53"/>
        <v>#DIV/0!</v>
      </c>
      <c r="AQ71" s="621" t="e">
        <f t="shared" si="54"/>
        <v>#DIV/0!</v>
      </c>
      <c r="AR71" s="621" t="e">
        <f t="shared" si="54"/>
        <v>#DIV/0!</v>
      </c>
    </row>
    <row r="72" spans="2:44">
      <c r="B72" s="176" t="s">
        <v>215</v>
      </c>
      <c r="C72" s="179"/>
      <c r="D72" s="70">
        <f t="shared" si="44"/>
        <v>0</v>
      </c>
      <c r="E72" s="179"/>
      <c r="F72" s="179"/>
      <c r="G72" s="179"/>
      <c r="H72" s="179"/>
      <c r="I72" s="179"/>
      <c r="J72" s="179"/>
      <c r="K72" s="179"/>
      <c r="L72" s="179"/>
      <c r="M72" s="179"/>
      <c r="N72" s="179"/>
      <c r="X72" s="70" t="e">
        <f t="shared" si="55"/>
        <v>#DIV/0!</v>
      </c>
      <c r="Y72" s="70" t="e">
        <f t="shared" si="45"/>
        <v>#DIV/0!</v>
      </c>
      <c r="Z72" s="70" t="e">
        <f t="shared" si="45"/>
        <v>#DIV/0!</v>
      </c>
      <c r="AA72" s="70" t="e">
        <f t="shared" si="45"/>
        <v>#DIV/0!</v>
      </c>
      <c r="AB72" s="70" t="e">
        <f t="shared" si="45"/>
        <v>#DIV/0!</v>
      </c>
      <c r="AC72" s="70" t="e">
        <f t="shared" si="45"/>
        <v>#DIV/0!</v>
      </c>
      <c r="AD72" s="70" t="e">
        <f t="shared" si="45"/>
        <v>#DIV/0!</v>
      </c>
      <c r="AE72" s="70" t="e">
        <f t="shared" si="45"/>
        <v>#DIV/0!</v>
      </c>
      <c r="AF72" s="70" t="e">
        <f t="shared" si="45"/>
        <v>#DIV/0!</v>
      </c>
      <c r="AG72" s="618" t="e">
        <f t="shared" si="45"/>
        <v>#DIV/0!</v>
      </c>
      <c r="AH72" s="88"/>
      <c r="AI72" s="613" t="e">
        <f t="shared" si="46"/>
        <v>#DIV/0!</v>
      </c>
      <c r="AJ72" s="92" t="e">
        <f t="shared" si="47"/>
        <v>#DIV/0!</v>
      </c>
      <c r="AK72" s="92" t="e">
        <f t="shared" si="48"/>
        <v>#DIV/0!</v>
      </c>
      <c r="AL72" s="92" t="e">
        <f t="shared" si="49"/>
        <v>#DIV/0!</v>
      </c>
      <c r="AM72" s="92" t="e">
        <f t="shared" si="50"/>
        <v>#DIV/0!</v>
      </c>
      <c r="AN72" s="92" t="e">
        <f t="shared" si="51"/>
        <v>#DIV/0!</v>
      </c>
      <c r="AO72" s="92" t="e">
        <f t="shared" si="52"/>
        <v>#DIV/0!</v>
      </c>
      <c r="AP72" s="92" t="e">
        <f t="shared" si="53"/>
        <v>#DIV/0!</v>
      </c>
      <c r="AQ72" s="621" t="e">
        <f t="shared" si="54"/>
        <v>#DIV/0!</v>
      </c>
      <c r="AR72" s="621" t="e">
        <f t="shared" si="54"/>
        <v>#DIV/0!</v>
      </c>
    </row>
    <row r="73" spans="2:44">
      <c r="B73" s="176" t="s">
        <v>195</v>
      </c>
      <c r="C73" s="179"/>
      <c r="D73" s="70">
        <f t="shared" si="44"/>
        <v>100</v>
      </c>
      <c r="E73" s="179">
        <v>100</v>
      </c>
      <c r="F73" s="179"/>
      <c r="G73" s="179"/>
      <c r="H73" s="179"/>
      <c r="I73" s="179"/>
      <c r="J73" s="179"/>
      <c r="K73" s="179"/>
      <c r="L73" s="179"/>
      <c r="M73" s="179"/>
      <c r="N73" s="179"/>
      <c r="X73" s="70">
        <f t="shared" si="55"/>
        <v>1</v>
      </c>
      <c r="Y73" s="70">
        <f t="shared" si="45"/>
        <v>0</v>
      </c>
      <c r="Z73" s="70">
        <f t="shared" si="45"/>
        <v>0</v>
      </c>
      <c r="AA73" s="70">
        <f t="shared" si="45"/>
        <v>0</v>
      </c>
      <c r="AB73" s="70">
        <f t="shared" si="45"/>
        <v>0</v>
      </c>
      <c r="AC73" s="70">
        <f t="shared" si="45"/>
        <v>0</v>
      </c>
      <c r="AD73" s="70">
        <f t="shared" si="45"/>
        <v>0</v>
      </c>
      <c r="AE73" s="70">
        <f t="shared" si="45"/>
        <v>0</v>
      </c>
      <c r="AF73" s="70">
        <f t="shared" si="45"/>
        <v>0</v>
      </c>
      <c r="AG73" s="618">
        <f t="shared" si="45"/>
        <v>0</v>
      </c>
      <c r="AH73" s="88"/>
      <c r="AI73" s="613">
        <f t="shared" si="46"/>
        <v>0</v>
      </c>
      <c r="AJ73" s="92">
        <f t="shared" si="47"/>
        <v>0</v>
      </c>
      <c r="AK73" s="92">
        <f t="shared" si="48"/>
        <v>0</v>
      </c>
      <c r="AL73" s="92">
        <f t="shared" si="49"/>
        <v>0</v>
      </c>
      <c r="AM73" s="92">
        <f t="shared" si="50"/>
        <v>0</v>
      </c>
      <c r="AN73" s="92">
        <f t="shared" si="51"/>
        <v>0</v>
      </c>
      <c r="AO73" s="92">
        <f t="shared" si="52"/>
        <v>0</v>
      </c>
      <c r="AP73" s="92">
        <f t="shared" si="53"/>
        <v>0</v>
      </c>
      <c r="AQ73" s="621">
        <f t="shared" si="54"/>
        <v>0</v>
      </c>
      <c r="AR73" s="621">
        <f t="shared" si="54"/>
        <v>0</v>
      </c>
    </row>
    <row r="74" spans="2:44">
      <c r="B74" s="176"/>
      <c r="C74" s="179"/>
      <c r="D74" s="70">
        <f t="shared" si="44"/>
        <v>100</v>
      </c>
      <c r="E74" s="179">
        <v>100</v>
      </c>
      <c r="F74" s="179"/>
      <c r="G74" s="179"/>
      <c r="H74" s="179"/>
      <c r="I74" s="179"/>
      <c r="J74" s="179"/>
      <c r="K74" s="179"/>
      <c r="L74" s="179"/>
      <c r="M74" s="179"/>
      <c r="N74" s="179"/>
      <c r="X74" s="70">
        <f t="shared" si="55"/>
        <v>1</v>
      </c>
      <c r="Y74" s="70">
        <f t="shared" si="45"/>
        <v>0</v>
      </c>
      <c r="Z74" s="70">
        <f t="shared" si="45"/>
        <v>0</v>
      </c>
      <c r="AA74" s="70">
        <f t="shared" si="45"/>
        <v>0</v>
      </c>
      <c r="AB74" s="70">
        <f t="shared" si="45"/>
        <v>0</v>
      </c>
      <c r="AC74" s="70">
        <f t="shared" si="45"/>
        <v>0</v>
      </c>
      <c r="AD74" s="70">
        <f t="shared" si="45"/>
        <v>0</v>
      </c>
      <c r="AE74" s="70">
        <f t="shared" si="45"/>
        <v>0</v>
      </c>
      <c r="AF74" s="70">
        <f t="shared" si="45"/>
        <v>0</v>
      </c>
      <c r="AG74" s="618">
        <f t="shared" si="45"/>
        <v>0</v>
      </c>
      <c r="AH74" s="88"/>
      <c r="AI74" s="613">
        <f t="shared" si="46"/>
        <v>0</v>
      </c>
      <c r="AJ74" s="92">
        <f t="shared" si="47"/>
        <v>0</v>
      </c>
      <c r="AK74" s="92">
        <f t="shared" si="48"/>
        <v>0</v>
      </c>
      <c r="AL74" s="92">
        <f t="shared" si="49"/>
        <v>0</v>
      </c>
      <c r="AM74" s="92">
        <f t="shared" si="50"/>
        <v>0</v>
      </c>
      <c r="AN74" s="92">
        <f t="shared" si="51"/>
        <v>0</v>
      </c>
      <c r="AO74" s="92">
        <f t="shared" si="52"/>
        <v>0</v>
      </c>
      <c r="AP74" s="92">
        <f t="shared" si="53"/>
        <v>0</v>
      </c>
      <c r="AQ74" s="621">
        <f t="shared" si="54"/>
        <v>0</v>
      </c>
      <c r="AR74" s="621">
        <f t="shared" si="54"/>
        <v>0</v>
      </c>
    </row>
    <row r="75" spans="2:44">
      <c r="B75" s="95" t="s">
        <v>63</v>
      </c>
      <c r="C75" s="69">
        <f>SUM(C65:C74)</f>
        <v>0</v>
      </c>
      <c r="D75" s="88"/>
      <c r="E75" s="69" t="e">
        <f>SUM(AI65:AI74)</f>
        <v>#DIV/0!</v>
      </c>
      <c r="F75" s="69" t="e">
        <f t="shared" ref="F75:N75" si="56">SUM(AJ65:AJ74)</f>
        <v>#DIV/0!</v>
      </c>
      <c r="G75" s="69" t="e">
        <f t="shared" si="56"/>
        <v>#DIV/0!</v>
      </c>
      <c r="H75" s="69" t="e">
        <f t="shared" si="56"/>
        <v>#DIV/0!</v>
      </c>
      <c r="I75" s="69" t="e">
        <f t="shared" si="56"/>
        <v>#DIV/0!</v>
      </c>
      <c r="J75" s="69" t="e">
        <f t="shared" si="56"/>
        <v>#DIV/0!</v>
      </c>
      <c r="K75" s="69" t="e">
        <f t="shared" si="56"/>
        <v>#DIV/0!</v>
      </c>
      <c r="L75" s="69" t="e">
        <f t="shared" si="56"/>
        <v>#DIV/0!</v>
      </c>
      <c r="M75" s="69" t="e">
        <f t="shared" si="56"/>
        <v>#DIV/0!</v>
      </c>
      <c r="N75" s="69" t="e">
        <f t="shared" si="56"/>
        <v>#DIV/0!</v>
      </c>
      <c r="AI75" s="511" t="e">
        <f>SUM(AI65:AI74)</f>
        <v>#DIV/0!</v>
      </c>
      <c r="AJ75" s="511" t="e">
        <f t="shared" ref="AJ75:AQ75" si="57">SUM(AJ65:AJ74)</f>
        <v>#DIV/0!</v>
      </c>
      <c r="AK75" s="511" t="e">
        <f t="shared" si="57"/>
        <v>#DIV/0!</v>
      </c>
      <c r="AL75" s="511" t="e">
        <f t="shared" si="57"/>
        <v>#DIV/0!</v>
      </c>
      <c r="AM75" s="511" t="e">
        <f t="shared" si="57"/>
        <v>#DIV/0!</v>
      </c>
      <c r="AN75" s="511" t="e">
        <f t="shared" si="57"/>
        <v>#DIV/0!</v>
      </c>
      <c r="AO75" s="511" t="e">
        <f t="shared" si="57"/>
        <v>#DIV/0!</v>
      </c>
      <c r="AP75" s="511" t="e">
        <f t="shared" si="57"/>
        <v>#DIV/0!</v>
      </c>
      <c r="AQ75" s="624" t="e">
        <f t="shared" si="57"/>
        <v>#DIV/0!</v>
      </c>
      <c r="AR75" s="624" t="e">
        <f>SUM(AR65:AR74)</f>
        <v>#DIV/0!</v>
      </c>
    </row>
    <row r="76" spans="2:44">
      <c r="B76" s="68"/>
      <c r="C76" s="88"/>
      <c r="D76" s="88"/>
      <c r="E76" s="88"/>
      <c r="F76" s="88"/>
      <c r="G76" s="88"/>
      <c r="H76" s="88"/>
      <c r="I76" s="88"/>
      <c r="J76" s="88"/>
      <c r="K76" s="88"/>
      <c r="L76" s="88"/>
      <c r="X76" s="64" t="str">
        <f>B77</f>
        <v>CUSTOM WORK</v>
      </c>
      <c r="AQ76" s="615"/>
      <c r="AR76" s="615"/>
    </row>
    <row r="77" spans="2:44" s="67" customFormat="1" ht="23.25" customHeight="1">
      <c r="B77" s="489" t="s">
        <v>99</v>
      </c>
      <c r="C77" s="508" t="s">
        <v>11</v>
      </c>
      <c r="D77" s="509" t="s">
        <v>391</v>
      </c>
      <c r="E77" s="492" t="str">
        <f>IF('About My Ranch'!$D$6="X","Cow-Calf","")</f>
        <v>Cow-Calf</v>
      </c>
      <c r="F77" s="492" t="str">
        <f>IF('About My Ranch'!$D$7="X","Repl Hfr","")</f>
        <v/>
      </c>
      <c r="G77" s="492" t="str">
        <f>IF('About My Ranch'!$D$9="X","Bckgrdr","")</f>
        <v/>
      </c>
      <c r="H77" s="492" t="str">
        <f>IF('About My Ranch'!$D$10="X","Grasser","")</f>
        <v/>
      </c>
      <c r="I77" s="492" t="str">
        <f>IF('About My Ranch'!$D$11="x","Finisher","")</f>
        <v/>
      </c>
      <c r="J77" s="492" t="str">
        <f>IF('About My Ranch'!$D$12="X","Forage","")</f>
        <v/>
      </c>
      <c r="K77" s="492" t="str">
        <f>IF('About My Ranch'!$D$13="x","Grazing","")</f>
        <v/>
      </c>
      <c r="L77" s="492" t="str">
        <f>IF('About My Ranch'!$D$14="x","Grain","")</f>
        <v/>
      </c>
      <c r="M77" s="492" t="str">
        <f>IF('About My Ranch'!$D$15="x",'About My Ranch'!D77,"")</f>
        <v/>
      </c>
      <c r="N77" s="610" t="str">
        <f>IF('About My Ranch'!$D$8="x","Ranch-Raised Bull","")</f>
        <v/>
      </c>
      <c r="X77" s="102" t="str">
        <f t="shared" ref="X77:AG77" si="58">E77</f>
        <v>Cow-Calf</v>
      </c>
      <c r="Y77" s="102" t="str">
        <f t="shared" si="58"/>
        <v/>
      </c>
      <c r="Z77" s="102" t="str">
        <f t="shared" si="58"/>
        <v/>
      </c>
      <c r="AA77" s="102" t="str">
        <f t="shared" si="58"/>
        <v/>
      </c>
      <c r="AB77" s="102" t="str">
        <f t="shared" si="58"/>
        <v/>
      </c>
      <c r="AC77" s="102" t="str">
        <f t="shared" si="58"/>
        <v/>
      </c>
      <c r="AD77" s="102" t="str">
        <f t="shared" si="58"/>
        <v/>
      </c>
      <c r="AE77" s="102" t="str">
        <f t="shared" si="58"/>
        <v/>
      </c>
      <c r="AF77" s="102" t="str">
        <f t="shared" si="58"/>
        <v/>
      </c>
      <c r="AG77" s="617" t="str">
        <f t="shared" si="58"/>
        <v/>
      </c>
      <c r="AH77" s="95"/>
      <c r="AI77" s="612" t="str">
        <f t="shared" ref="AI77:AR77" si="59">E77</f>
        <v>Cow-Calf</v>
      </c>
      <c r="AJ77" s="102" t="str">
        <f t="shared" si="59"/>
        <v/>
      </c>
      <c r="AK77" s="102" t="str">
        <f t="shared" si="59"/>
        <v/>
      </c>
      <c r="AL77" s="102" t="str">
        <f t="shared" si="59"/>
        <v/>
      </c>
      <c r="AM77" s="102" t="str">
        <f t="shared" si="59"/>
        <v/>
      </c>
      <c r="AN77" s="102" t="str">
        <f t="shared" si="59"/>
        <v/>
      </c>
      <c r="AO77" s="102" t="str">
        <f t="shared" si="59"/>
        <v/>
      </c>
      <c r="AP77" s="102" t="str">
        <f t="shared" si="59"/>
        <v/>
      </c>
      <c r="AQ77" s="620" t="str">
        <f t="shared" si="59"/>
        <v/>
      </c>
      <c r="AR77" s="620" t="str">
        <f t="shared" si="59"/>
        <v/>
      </c>
    </row>
    <row r="78" spans="2:44" ht="15">
      <c r="B78" s="183" t="s">
        <v>596</v>
      </c>
      <c r="C78" s="179"/>
      <c r="D78" s="70">
        <f>SUM(E78:N78)</f>
        <v>0</v>
      </c>
      <c r="E78" s="179"/>
      <c r="F78" s="179"/>
      <c r="G78" s="179"/>
      <c r="H78" s="179"/>
      <c r="I78" s="179"/>
      <c r="J78" s="179"/>
      <c r="K78" s="179"/>
      <c r="L78" s="179"/>
      <c r="M78" s="179"/>
      <c r="N78" s="179"/>
      <c r="X78" s="70" t="e">
        <f>E78/$D78</f>
        <v>#DIV/0!</v>
      </c>
      <c r="Y78" s="70" t="e">
        <f t="shared" ref="Y78:AG81" si="60">F78/$D78</f>
        <v>#DIV/0!</v>
      </c>
      <c r="Z78" s="70" t="e">
        <f t="shared" si="60"/>
        <v>#DIV/0!</v>
      </c>
      <c r="AA78" s="70" t="e">
        <f t="shared" si="60"/>
        <v>#DIV/0!</v>
      </c>
      <c r="AB78" s="70" t="e">
        <f t="shared" si="60"/>
        <v>#DIV/0!</v>
      </c>
      <c r="AC78" s="70" t="e">
        <f t="shared" si="60"/>
        <v>#DIV/0!</v>
      </c>
      <c r="AD78" s="70" t="e">
        <f t="shared" si="60"/>
        <v>#DIV/0!</v>
      </c>
      <c r="AE78" s="70" t="e">
        <f t="shared" si="60"/>
        <v>#DIV/0!</v>
      </c>
      <c r="AF78" s="70" t="e">
        <f t="shared" si="60"/>
        <v>#DIV/0!</v>
      </c>
      <c r="AG78" s="618" t="e">
        <f t="shared" si="60"/>
        <v>#DIV/0!</v>
      </c>
      <c r="AH78" s="88"/>
      <c r="AI78" s="613" t="e">
        <f t="shared" ref="AI78:AP81" si="61">X78*$C78</f>
        <v>#DIV/0!</v>
      </c>
      <c r="AJ78" s="92" t="e">
        <f t="shared" si="61"/>
        <v>#DIV/0!</v>
      </c>
      <c r="AK78" s="92" t="e">
        <f t="shared" si="61"/>
        <v>#DIV/0!</v>
      </c>
      <c r="AL78" s="92" t="e">
        <f t="shared" si="61"/>
        <v>#DIV/0!</v>
      </c>
      <c r="AM78" s="92" t="e">
        <f t="shared" si="61"/>
        <v>#DIV/0!</v>
      </c>
      <c r="AN78" s="92" t="e">
        <f t="shared" si="61"/>
        <v>#DIV/0!</v>
      </c>
      <c r="AO78" s="92" t="e">
        <f t="shared" si="61"/>
        <v>#DIV/0!</v>
      </c>
      <c r="AP78" s="92" t="e">
        <f t="shared" si="61"/>
        <v>#DIV/0!</v>
      </c>
      <c r="AQ78" s="621" t="e">
        <f t="shared" ref="AQ78:AR81" si="62">AF78*$C78</f>
        <v>#DIV/0!</v>
      </c>
      <c r="AR78" s="621" t="e">
        <f t="shared" si="62"/>
        <v>#DIV/0!</v>
      </c>
    </row>
    <row r="79" spans="2:44" ht="15">
      <c r="B79" s="183" t="s">
        <v>219</v>
      </c>
      <c r="C79" s="179"/>
      <c r="D79" s="70">
        <f>SUM(E79:N79)</f>
        <v>0</v>
      </c>
      <c r="E79" s="179"/>
      <c r="F79" s="179"/>
      <c r="G79" s="179"/>
      <c r="H79" s="179"/>
      <c r="I79" s="179"/>
      <c r="J79" s="179"/>
      <c r="K79" s="179"/>
      <c r="L79" s="179"/>
      <c r="M79" s="179"/>
      <c r="N79" s="179"/>
      <c r="X79" s="70" t="e">
        <f>E79/$D79</f>
        <v>#DIV/0!</v>
      </c>
      <c r="Y79" s="70" t="e">
        <f t="shared" si="60"/>
        <v>#DIV/0!</v>
      </c>
      <c r="Z79" s="70" t="e">
        <f t="shared" si="60"/>
        <v>#DIV/0!</v>
      </c>
      <c r="AA79" s="70" t="e">
        <f t="shared" si="60"/>
        <v>#DIV/0!</v>
      </c>
      <c r="AB79" s="70" t="e">
        <f t="shared" si="60"/>
        <v>#DIV/0!</v>
      </c>
      <c r="AC79" s="70" t="e">
        <f t="shared" si="60"/>
        <v>#DIV/0!</v>
      </c>
      <c r="AD79" s="70" t="e">
        <f t="shared" si="60"/>
        <v>#DIV/0!</v>
      </c>
      <c r="AE79" s="70" t="e">
        <f t="shared" si="60"/>
        <v>#DIV/0!</v>
      </c>
      <c r="AF79" s="70" t="e">
        <f t="shared" si="60"/>
        <v>#DIV/0!</v>
      </c>
      <c r="AG79" s="618" t="e">
        <f t="shared" si="60"/>
        <v>#DIV/0!</v>
      </c>
      <c r="AH79" s="88"/>
      <c r="AI79" s="613" t="e">
        <f t="shared" si="61"/>
        <v>#DIV/0!</v>
      </c>
      <c r="AJ79" s="92" t="e">
        <f t="shared" si="61"/>
        <v>#DIV/0!</v>
      </c>
      <c r="AK79" s="92" t="e">
        <f t="shared" si="61"/>
        <v>#DIV/0!</v>
      </c>
      <c r="AL79" s="92" t="e">
        <f t="shared" si="61"/>
        <v>#DIV/0!</v>
      </c>
      <c r="AM79" s="92" t="e">
        <f t="shared" si="61"/>
        <v>#DIV/0!</v>
      </c>
      <c r="AN79" s="92" t="e">
        <f t="shared" si="61"/>
        <v>#DIV/0!</v>
      </c>
      <c r="AO79" s="92" t="e">
        <f t="shared" si="61"/>
        <v>#DIV/0!</v>
      </c>
      <c r="AP79" s="92" t="e">
        <f t="shared" si="61"/>
        <v>#DIV/0!</v>
      </c>
      <c r="AQ79" s="621" t="e">
        <f t="shared" si="62"/>
        <v>#DIV/0!</v>
      </c>
      <c r="AR79" s="621" t="e">
        <f t="shared" si="62"/>
        <v>#DIV/0!</v>
      </c>
    </row>
    <row r="80" spans="2:44" ht="15">
      <c r="B80" s="183"/>
      <c r="C80" s="179"/>
      <c r="D80" s="70">
        <f>SUM(E80:N80)</f>
        <v>100</v>
      </c>
      <c r="E80" s="179">
        <v>100</v>
      </c>
      <c r="F80" s="179"/>
      <c r="G80" s="179"/>
      <c r="H80" s="179"/>
      <c r="I80" s="179"/>
      <c r="J80" s="179"/>
      <c r="K80" s="179"/>
      <c r="L80" s="179"/>
      <c r="M80" s="179"/>
      <c r="N80" s="179"/>
      <c r="X80" s="70">
        <f>E80/$D80</f>
        <v>1</v>
      </c>
      <c r="Y80" s="70">
        <f t="shared" si="60"/>
        <v>0</v>
      </c>
      <c r="Z80" s="70">
        <f t="shared" si="60"/>
        <v>0</v>
      </c>
      <c r="AA80" s="70">
        <f t="shared" si="60"/>
        <v>0</v>
      </c>
      <c r="AB80" s="70">
        <f t="shared" si="60"/>
        <v>0</v>
      </c>
      <c r="AC80" s="70">
        <f t="shared" si="60"/>
        <v>0</v>
      </c>
      <c r="AD80" s="70">
        <f t="shared" si="60"/>
        <v>0</v>
      </c>
      <c r="AE80" s="70">
        <f t="shared" si="60"/>
        <v>0</v>
      </c>
      <c r="AF80" s="70">
        <f t="shared" si="60"/>
        <v>0</v>
      </c>
      <c r="AG80" s="618">
        <f t="shared" si="60"/>
        <v>0</v>
      </c>
      <c r="AH80" s="88"/>
      <c r="AI80" s="613">
        <f t="shared" si="61"/>
        <v>0</v>
      </c>
      <c r="AJ80" s="92">
        <f t="shared" si="61"/>
        <v>0</v>
      </c>
      <c r="AK80" s="92">
        <f t="shared" si="61"/>
        <v>0</v>
      </c>
      <c r="AL80" s="92">
        <f t="shared" si="61"/>
        <v>0</v>
      </c>
      <c r="AM80" s="92">
        <f t="shared" si="61"/>
        <v>0</v>
      </c>
      <c r="AN80" s="92">
        <f t="shared" si="61"/>
        <v>0</v>
      </c>
      <c r="AO80" s="92">
        <f t="shared" si="61"/>
        <v>0</v>
      </c>
      <c r="AP80" s="92">
        <f t="shared" si="61"/>
        <v>0</v>
      </c>
      <c r="AQ80" s="621">
        <f t="shared" si="62"/>
        <v>0</v>
      </c>
      <c r="AR80" s="621">
        <f t="shared" si="62"/>
        <v>0</v>
      </c>
    </row>
    <row r="81" spans="2:44">
      <c r="B81" s="176" t="s">
        <v>220</v>
      </c>
      <c r="C81" s="179"/>
      <c r="D81" s="70">
        <f>SUM(E81:N81)</f>
        <v>100</v>
      </c>
      <c r="E81" s="179">
        <v>100</v>
      </c>
      <c r="F81" s="179"/>
      <c r="G81" s="179"/>
      <c r="H81" s="179"/>
      <c r="I81" s="179"/>
      <c r="J81" s="179"/>
      <c r="K81" s="179"/>
      <c r="L81" s="179"/>
      <c r="M81" s="179"/>
      <c r="N81" s="179"/>
      <c r="X81" s="70">
        <f>E81/$D81</f>
        <v>1</v>
      </c>
      <c r="Y81" s="70">
        <f t="shared" si="60"/>
        <v>0</v>
      </c>
      <c r="Z81" s="70">
        <f t="shared" si="60"/>
        <v>0</v>
      </c>
      <c r="AA81" s="70">
        <f t="shared" si="60"/>
        <v>0</v>
      </c>
      <c r="AB81" s="70">
        <f t="shared" si="60"/>
        <v>0</v>
      </c>
      <c r="AC81" s="70">
        <f t="shared" si="60"/>
        <v>0</v>
      </c>
      <c r="AD81" s="70">
        <f t="shared" si="60"/>
        <v>0</v>
      </c>
      <c r="AE81" s="70">
        <f t="shared" si="60"/>
        <v>0</v>
      </c>
      <c r="AF81" s="70">
        <f t="shared" si="60"/>
        <v>0</v>
      </c>
      <c r="AG81" s="618">
        <f t="shared" si="60"/>
        <v>0</v>
      </c>
      <c r="AH81" s="88"/>
      <c r="AI81" s="613">
        <f t="shared" si="61"/>
        <v>0</v>
      </c>
      <c r="AJ81" s="92">
        <f t="shared" si="61"/>
        <v>0</v>
      </c>
      <c r="AK81" s="92">
        <f t="shared" si="61"/>
        <v>0</v>
      </c>
      <c r="AL81" s="92">
        <f t="shared" si="61"/>
        <v>0</v>
      </c>
      <c r="AM81" s="92">
        <f t="shared" si="61"/>
        <v>0</v>
      </c>
      <c r="AN81" s="92">
        <f t="shared" si="61"/>
        <v>0</v>
      </c>
      <c r="AO81" s="92">
        <f t="shared" si="61"/>
        <v>0</v>
      </c>
      <c r="AP81" s="92">
        <f t="shared" si="61"/>
        <v>0</v>
      </c>
      <c r="AQ81" s="621">
        <f t="shared" si="62"/>
        <v>0</v>
      </c>
      <c r="AR81" s="621">
        <f t="shared" si="62"/>
        <v>0</v>
      </c>
    </row>
    <row r="82" spans="2:44">
      <c r="B82" s="95" t="s">
        <v>64</v>
      </c>
      <c r="C82" s="69">
        <f>SUM(C78:C81)</f>
        <v>0</v>
      </c>
      <c r="D82" s="88"/>
      <c r="E82" s="69" t="e">
        <f>SUM(AI78:AI81)</f>
        <v>#DIV/0!</v>
      </c>
      <c r="F82" s="69" t="e">
        <f t="shared" ref="F82:N82" si="63">SUM(AJ78:AJ81)</f>
        <v>#DIV/0!</v>
      </c>
      <c r="G82" s="69" t="e">
        <f t="shared" si="63"/>
        <v>#DIV/0!</v>
      </c>
      <c r="H82" s="69" t="e">
        <f t="shared" si="63"/>
        <v>#DIV/0!</v>
      </c>
      <c r="I82" s="69" t="e">
        <f t="shared" si="63"/>
        <v>#DIV/0!</v>
      </c>
      <c r="J82" s="69" t="e">
        <f t="shared" si="63"/>
        <v>#DIV/0!</v>
      </c>
      <c r="K82" s="69" t="e">
        <f t="shared" si="63"/>
        <v>#DIV/0!</v>
      </c>
      <c r="L82" s="69" t="e">
        <f t="shared" si="63"/>
        <v>#DIV/0!</v>
      </c>
      <c r="M82" s="69" t="e">
        <f t="shared" si="63"/>
        <v>#DIV/0!</v>
      </c>
      <c r="N82" s="69" t="e">
        <f t="shared" si="63"/>
        <v>#DIV/0!</v>
      </c>
      <c r="AI82" s="511" t="e">
        <f>SUM(AI78:AI81)</f>
        <v>#DIV/0!</v>
      </c>
      <c r="AJ82" s="511" t="e">
        <f t="shared" ref="AJ82:AQ82" si="64">SUM(AJ78:AJ81)</f>
        <v>#DIV/0!</v>
      </c>
      <c r="AK82" s="511" t="e">
        <f t="shared" si="64"/>
        <v>#DIV/0!</v>
      </c>
      <c r="AL82" s="511" t="e">
        <f t="shared" si="64"/>
        <v>#DIV/0!</v>
      </c>
      <c r="AM82" s="511" t="e">
        <f t="shared" si="64"/>
        <v>#DIV/0!</v>
      </c>
      <c r="AN82" s="511" t="e">
        <f t="shared" si="64"/>
        <v>#DIV/0!</v>
      </c>
      <c r="AO82" s="511" t="e">
        <f t="shared" si="64"/>
        <v>#DIV/0!</v>
      </c>
      <c r="AP82" s="511" t="e">
        <f t="shared" si="64"/>
        <v>#DIV/0!</v>
      </c>
      <c r="AQ82" s="624" t="e">
        <f t="shared" si="64"/>
        <v>#DIV/0!</v>
      </c>
      <c r="AR82" s="624" t="e">
        <f>SUM(AR78:AR81)</f>
        <v>#DIV/0!</v>
      </c>
    </row>
    <row r="83" spans="2:44">
      <c r="X83" s="64" t="str">
        <f>B84</f>
        <v>PAID LABOUR</v>
      </c>
      <c r="AQ83" s="615"/>
      <c r="AR83" s="615"/>
    </row>
    <row r="84" spans="2:44" s="67" customFormat="1" ht="24" customHeight="1">
      <c r="B84" s="489" t="s">
        <v>100</v>
      </c>
      <c r="C84" s="508" t="s">
        <v>11</v>
      </c>
      <c r="D84" s="509" t="s">
        <v>391</v>
      </c>
      <c r="E84" s="492" t="str">
        <f>IF('About My Ranch'!$D$6="X","Cow-Calf","")</f>
        <v>Cow-Calf</v>
      </c>
      <c r="F84" s="492" t="str">
        <f>IF('About My Ranch'!$D$7="X","Repl Hfr","")</f>
        <v/>
      </c>
      <c r="G84" s="492" t="str">
        <f>IF('About My Ranch'!$D$9="X","Bckgrdr","")</f>
        <v/>
      </c>
      <c r="H84" s="492" t="str">
        <f>IF('About My Ranch'!$D$10="X","Grasser","")</f>
        <v/>
      </c>
      <c r="I84" s="492" t="str">
        <f>IF('About My Ranch'!$D$11="x","Finisher","")</f>
        <v/>
      </c>
      <c r="J84" s="492" t="str">
        <f>IF('About My Ranch'!$D$12="X","Forage","")</f>
        <v/>
      </c>
      <c r="K84" s="492" t="str">
        <f>IF('About My Ranch'!$D$13="x","Grazing","")</f>
        <v/>
      </c>
      <c r="L84" s="492" t="str">
        <f>IF('About My Ranch'!$D$14="x","Grain","")</f>
        <v/>
      </c>
      <c r="M84" s="492" t="str">
        <f>IF('About My Ranch'!$D$15="x",'About My Ranch'!D84,"")</f>
        <v/>
      </c>
      <c r="N84" s="610" t="str">
        <f>IF('About My Ranch'!$D$8="x","Ranch-Raised Bull","")</f>
        <v/>
      </c>
      <c r="X84" s="102" t="str">
        <f t="shared" ref="X84:AG84" si="65">E84</f>
        <v>Cow-Calf</v>
      </c>
      <c r="Y84" s="102" t="str">
        <f t="shared" si="65"/>
        <v/>
      </c>
      <c r="Z84" s="102" t="str">
        <f t="shared" si="65"/>
        <v/>
      </c>
      <c r="AA84" s="102" t="str">
        <f t="shared" si="65"/>
        <v/>
      </c>
      <c r="AB84" s="102" t="str">
        <f t="shared" si="65"/>
        <v/>
      </c>
      <c r="AC84" s="102" t="str">
        <f t="shared" si="65"/>
        <v/>
      </c>
      <c r="AD84" s="102" t="str">
        <f t="shared" si="65"/>
        <v/>
      </c>
      <c r="AE84" s="102" t="str">
        <f t="shared" si="65"/>
        <v/>
      </c>
      <c r="AF84" s="102" t="str">
        <f t="shared" si="65"/>
        <v/>
      </c>
      <c r="AG84" s="617" t="str">
        <f t="shared" si="65"/>
        <v/>
      </c>
      <c r="AH84" s="95"/>
      <c r="AI84" s="612" t="str">
        <f t="shared" ref="AI84:AR84" si="66">E84</f>
        <v>Cow-Calf</v>
      </c>
      <c r="AJ84" s="102" t="str">
        <f t="shared" si="66"/>
        <v/>
      </c>
      <c r="AK84" s="102" t="str">
        <f t="shared" si="66"/>
        <v/>
      </c>
      <c r="AL84" s="102" t="str">
        <f t="shared" si="66"/>
        <v/>
      </c>
      <c r="AM84" s="102" t="str">
        <f t="shared" si="66"/>
        <v/>
      </c>
      <c r="AN84" s="102" t="str">
        <f t="shared" si="66"/>
        <v/>
      </c>
      <c r="AO84" s="102" t="str">
        <f t="shared" si="66"/>
        <v/>
      </c>
      <c r="AP84" s="102" t="str">
        <f t="shared" si="66"/>
        <v/>
      </c>
      <c r="AQ84" s="620" t="str">
        <f t="shared" si="66"/>
        <v/>
      </c>
      <c r="AR84" s="620" t="str">
        <f t="shared" si="66"/>
        <v/>
      </c>
    </row>
    <row r="85" spans="2:44">
      <c r="B85" s="176"/>
      <c r="C85" s="179"/>
      <c r="D85" s="70">
        <f>SUM(E85:N85)</f>
        <v>100</v>
      </c>
      <c r="E85" s="179">
        <v>100</v>
      </c>
      <c r="F85" s="179"/>
      <c r="G85" s="179"/>
      <c r="H85" s="179"/>
      <c r="I85" s="179"/>
      <c r="J85" s="179"/>
      <c r="K85" s="179"/>
      <c r="L85" s="184"/>
      <c r="M85" s="184"/>
      <c r="N85" s="184"/>
      <c r="X85" s="70">
        <f>E85/$D85</f>
        <v>1</v>
      </c>
      <c r="Y85" s="70">
        <f t="shared" ref="Y85:AG86" si="67">F85/$D85</f>
        <v>0</v>
      </c>
      <c r="Z85" s="70">
        <f t="shared" si="67"/>
        <v>0</v>
      </c>
      <c r="AA85" s="70">
        <f t="shared" si="67"/>
        <v>0</v>
      </c>
      <c r="AB85" s="70">
        <f t="shared" si="67"/>
        <v>0</v>
      </c>
      <c r="AC85" s="70">
        <f t="shared" si="67"/>
        <v>0</v>
      </c>
      <c r="AD85" s="70">
        <f t="shared" si="67"/>
        <v>0</v>
      </c>
      <c r="AE85" s="70">
        <f t="shared" si="67"/>
        <v>0</v>
      </c>
      <c r="AF85" s="70">
        <f t="shared" si="67"/>
        <v>0</v>
      </c>
      <c r="AG85" s="618">
        <f t="shared" si="67"/>
        <v>0</v>
      </c>
      <c r="AH85" s="88"/>
      <c r="AI85" s="613">
        <f t="shared" ref="AI85:AR86" si="68">X85*$C85</f>
        <v>0</v>
      </c>
      <c r="AJ85" s="92">
        <f t="shared" si="68"/>
        <v>0</v>
      </c>
      <c r="AK85" s="92">
        <f t="shared" si="68"/>
        <v>0</v>
      </c>
      <c r="AL85" s="92">
        <f t="shared" si="68"/>
        <v>0</v>
      </c>
      <c r="AM85" s="92">
        <f t="shared" si="68"/>
        <v>0</v>
      </c>
      <c r="AN85" s="92">
        <f t="shared" si="68"/>
        <v>0</v>
      </c>
      <c r="AO85" s="92">
        <f t="shared" si="68"/>
        <v>0</v>
      </c>
      <c r="AP85" s="92">
        <f t="shared" si="68"/>
        <v>0</v>
      </c>
      <c r="AQ85" s="621">
        <f t="shared" si="68"/>
        <v>0</v>
      </c>
      <c r="AR85" s="621">
        <f t="shared" si="68"/>
        <v>0</v>
      </c>
    </row>
    <row r="86" spans="2:44">
      <c r="B86" s="176"/>
      <c r="C86" s="179"/>
      <c r="D86" s="70">
        <f>SUM(E86:N86)</f>
        <v>100</v>
      </c>
      <c r="E86" s="179">
        <v>100</v>
      </c>
      <c r="F86" s="179"/>
      <c r="G86" s="179"/>
      <c r="H86" s="179"/>
      <c r="I86" s="179"/>
      <c r="J86" s="179"/>
      <c r="K86" s="179"/>
      <c r="L86" s="184"/>
      <c r="M86" s="184"/>
      <c r="N86" s="184"/>
      <c r="X86" s="70">
        <f>E86/$D86</f>
        <v>1</v>
      </c>
      <c r="Y86" s="70">
        <f t="shared" si="67"/>
        <v>0</v>
      </c>
      <c r="Z86" s="70">
        <f t="shared" si="67"/>
        <v>0</v>
      </c>
      <c r="AA86" s="70">
        <f t="shared" si="67"/>
        <v>0</v>
      </c>
      <c r="AB86" s="70">
        <f t="shared" si="67"/>
        <v>0</v>
      </c>
      <c r="AC86" s="70">
        <f t="shared" si="67"/>
        <v>0</v>
      </c>
      <c r="AD86" s="70">
        <f t="shared" si="67"/>
        <v>0</v>
      </c>
      <c r="AE86" s="70">
        <f t="shared" si="67"/>
        <v>0</v>
      </c>
      <c r="AF86" s="70">
        <f t="shared" si="67"/>
        <v>0</v>
      </c>
      <c r="AG86" s="618">
        <f t="shared" si="67"/>
        <v>0</v>
      </c>
      <c r="AH86" s="88"/>
      <c r="AI86" s="613">
        <f t="shared" si="68"/>
        <v>0</v>
      </c>
      <c r="AJ86" s="92">
        <f t="shared" si="68"/>
        <v>0</v>
      </c>
      <c r="AK86" s="92">
        <f t="shared" si="68"/>
        <v>0</v>
      </c>
      <c r="AL86" s="92">
        <f t="shared" si="68"/>
        <v>0</v>
      </c>
      <c r="AM86" s="92">
        <f t="shared" si="68"/>
        <v>0</v>
      </c>
      <c r="AN86" s="92">
        <f t="shared" si="68"/>
        <v>0</v>
      </c>
      <c r="AO86" s="92">
        <f t="shared" si="68"/>
        <v>0</v>
      </c>
      <c r="AP86" s="92">
        <f t="shared" si="68"/>
        <v>0</v>
      </c>
      <c r="AQ86" s="621">
        <f t="shared" si="68"/>
        <v>0</v>
      </c>
      <c r="AR86" s="621">
        <f t="shared" si="68"/>
        <v>0</v>
      </c>
    </row>
    <row r="87" spans="2:44">
      <c r="B87" s="95" t="s">
        <v>65</v>
      </c>
      <c r="C87" s="69">
        <f>SUM(C85:C86)</f>
        <v>0</v>
      </c>
      <c r="D87" s="88"/>
      <c r="E87" s="69">
        <f>AI87</f>
        <v>0</v>
      </c>
      <c r="F87" s="69">
        <f t="shared" ref="F87:N87" si="69">AJ87</f>
        <v>0</v>
      </c>
      <c r="G87" s="69">
        <f t="shared" si="69"/>
        <v>0</v>
      </c>
      <c r="H87" s="69">
        <f t="shared" si="69"/>
        <v>0</v>
      </c>
      <c r="I87" s="69">
        <f t="shared" si="69"/>
        <v>0</v>
      </c>
      <c r="J87" s="69">
        <f t="shared" si="69"/>
        <v>0</v>
      </c>
      <c r="K87" s="69">
        <f t="shared" si="69"/>
        <v>0</v>
      </c>
      <c r="L87" s="69">
        <f t="shared" si="69"/>
        <v>0</v>
      </c>
      <c r="M87" s="69">
        <f t="shared" si="69"/>
        <v>0</v>
      </c>
      <c r="N87" s="69">
        <f t="shared" si="69"/>
        <v>0</v>
      </c>
      <c r="AI87" s="505">
        <f>SUM(AI85:AI86)</f>
        <v>0</v>
      </c>
      <c r="AJ87" s="505">
        <f t="shared" ref="AJ87:AQ87" si="70">SUM(AJ85:AJ86)</f>
        <v>0</v>
      </c>
      <c r="AK87" s="505">
        <f t="shared" si="70"/>
        <v>0</v>
      </c>
      <c r="AL87" s="505">
        <f t="shared" si="70"/>
        <v>0</v>
      </c>
      <c r="AM87" s="505">
        <f t="shared" si="70"/>
        <v>0</v>
      </c>
      <c r="AN87" s="505">
        <f t="shared" si="70"/>
        <v>0</v>
      </c>
      <c r="AO87" s="505">
        <f t="shared" si="70"/>
        <v>0</v>
      </c>
      <c r="AP87" s="505">
        <f t="shared" si="70"/>
        <v>0</v>
      </c>
      <c r="AQ87" s="625">
        <f t="shared" si="70"/>
        <v>0</v>
      </c>
      <c r="AR87" s="625">
        <f>SUM(AR85:AR86)</f>
        <v>0</v>
      </c>
    </row>
    <row r="88" spans="2:44" ht="15">
      <c r="B88" s="100"/>
      <c r="C88" s="65"/>
      <c r="D88" s="101"/>
      <c r="E88" s="65"/>
      <c r="F88" s="65"/>
      <c r="G88" s="65"/>
      <c r="H88" s="65"/>
      <c r="I88" s="65"/>
      <c r="J88" s="65"/>
      <c r="K88" s="65"/>
      <c r="L88" s="65"/>
      <c r="M88" s="67"/>
      <c r="X88" s="64" t="str">
        <f>B89</f>
        <v>TAXES, INSURANCE, LICENSES</v>
      </c>
      <c r="AF88" s="517"/>
      <c r="AG88" s="619"/>
      <c r="AH88" s="614"/>
      <c r="AI88" s="517"/>
      <c r="AQ88" s="615"/>
      <c r="AR88" s="615"/>
    </row>
    <row r="89" spans="2:44" s="67" customFormat="1" ht="23.25" customHeight="1">
      <c r="B89" s="489" t="s">
        <v>412</v>
      </c>
      <c r="C89" s="508" t="s">
        <v>11</v>
      </c>
      <c r="D89" s="509" t="s">
        <v>391</v>
      </c>
      <c r="E89" s="492" t="str">
        <f>IF('About My Ranch'!$D$6="X","Cow-Calf","")</f>
        <v>Cow-Calf</v>
      </c>
      <c r="F89" s="492" t="str">
        <f>IF('About My Ranch'!$D$7="X","Repl Hfr","")</f>
        <v/>
      </c>
      <c r="G89" s="492" t="str">
        <f>IF('About My Ranch'!$D$9="X","Bckgrdr","")</f>
        <v/>
      </c>
      <c r="H89" s="492" t="str">
        <f>IF('About My Ranch'!$D$10="X","Grasser","")</f>
        <v/>
      </c>
      <c r="I89" s="492" t="str">
        <f>IF('About My Ranch'!$D$11="x","Finisher","")</f>
        <v/>
      </c>
      <c r="J89" s="492" t="str">
        <f>IF('About My Ranch'!$D$12="X","Forage","")</f>
        <v/>
      </c>
      <c r="K89" s="492" t="str">
        <f>IF('About My Ranch'!$D$13="x","Grazing","")</f>
        <v/>
      </c>
      <c r="L89" s="492" t="str">
        <f>IF('About My Ranch'!$D$14="x","Grain","")</f>
        <v/>
      </c>
      <c r="M89" s="492" t="str">
        <f>IF('About My Ranch'!$D$15="x",'About My Ranch'!D88,"")</f>
        <v/>
      </c>
      <c r="N89" s="610" t="str">
        <f>IF('About My Ranch'!$D$8="x","Ranch-Raised Bull","")</f>
        <v/>
      </c>
      <c r="X89" s="102" t="str">
        <f t="shared" ref="X89:AG89" si="71">E89</f>
        <v>Cow-Calf</v>
      </c>
      <c r="Y89" s="102" t="str">
        <f t="shared" si="71"/>
        <v/>
      </c>
      <c r="Z89" s="102" t="str">
        <f t="shared" si="71"/>
        <v/>
      </c>
      <c r="AA89" s="102" t="str">
        <f t="shared" si="71"/>
        <v/>
      </c>
      <c r="AB89" s="102" t="str">
        <f t="shared" si="71"/>
        <v/>
      </c>
      <c r="AC89" s="102" t="str">
        <f t="shared" si="71"/>
        <v/>
      </c>
      <c r="AD89" s="102" t="str">
        <f t="shared" si="71"/>
        <v/>
      </c>
      <c r="AE89" s="102" t="str">
        <f t="shared" si="71"/>
        <v/>
      </c>
      <c r="AF89" s="102" t="str">
        <f t="shared" si="71"/>
        <v/>
      </c>
      <c r="AG89" s="617" t="str">
        <f t="shared" si="71"/>
        <v/>
      </c>
      <c r="AH89" s="95"/>
      <c r="AI89" s="612" t="str">
        <f t="shared" ref="AI89:AR89" si="72">E89</f>
        <v>Cow-Calf</v>
      </c>
      <c r="AJ89" s="102" t="str">
        <f t="shared" si="72"/>
        <v/>
      </c>
      <c r="AK89" s="102" t="str">
        <f t="shared" si="72"/>
        <v/>
      </c>
      <c r="AL89" s="102" t="str">
        <f t="shared" si="72"/>
        <v/>
      </c>
      <c r="AM89" s="102" t="str">
        <f t="shared" si="72"/>
        <v/>
      </c>
      <c r="AN89" s="102" t="str">
        <f t="shared" si="72"/>
        <v/>
      </c>
      <c r="AO89" s="102" t="str">
        <f t="shared" si="72"/>
        <v/>
      </c>
      <c r="AP89" s="102" t="str">
        <f t="shared" si="72"/>
        <v/>
      </c>
      <c r="AQ89" s="620" t="str">
        <f t="shared" si="72"/>
        <v/>
      </c>
      <c r="AR89" s="620" t="str">
        <f t="shared" si="72"/>
        <v/>
      </c>
    </row>
    <row r="90" spans="2:44">
      <c r="B90" s="570" t="s">
        <v>425</v>
      </c>
      <c r="C90" s="179"/>
      <c r="D90" s="70">
        <f t="shared" ref="D90:D96" si="73">SUM(E90:N90)</f>
        <v>0</v>
      </c>
      <c r="E90" s="179"/>
      <c r="F90" s="179"/>
      <c r="G90" s="179"/>
      <c r="H90" s="179"/>
      <c r="I90" s="179"/>
      <c r="J90" s="179"/>
      <c r="K90" s="179"/>
      <c r="L90" s="179"/>
      <c r="M90" s="179"/>
      <c r="N90" s="179"/>
      <c r="X90" s="70" t="e">
        <f>E90/$D90</f>
        <v>#DIV/0!</v>
      </c>
      <c r="Y90" s="70" t="e">
        <f t="shared" ref="Y90:AG96" si="74">F90/$D90</f>
        <v>#DIV/0!</v>
      </c>
      <c r="Z90" s="70" t="e">
        <f t="shared" si="74"/>
        <v>#DIV/0!</v>
      </c>
      <c r="AA90" s="70" t="e">
        <f t="shared" si="74"/>
        <v>#DIV/0!</v>
      </c>
      <c r="AB90" s="70" t="e">
        <f t="shared" si="74"/>
        <v>#DIV/0!</v>
      </c>
      <c r="AC90" s="70" t="e">
        <f t="shared" si="74"/>
        <v>#DIV/0!</v>
      </c>
      <c r="AD90" s="70" t="e">
        <f t="shared" si="74"/>
        <v>#DIV/0!</v>
      </c>
      <c r="AE90" s="70" t="e">
        <f t="shared" si="74"/>
        <v>#DIV/0!</v>
      </c>
      <c r="AF90" s="70" t="e">
        <f t="shared" si="74"/>
        <v>#DIV/0!</v>
      </c>
      <c r="AG90" s="618" t="e">
        <f t="shared" si="74"/>
        <v>#DIV/0!</v>
      </c>
      <c r="AH90" s="88"/>
      <c r="AI90" s="613" t="e">
        <f t="shared" ref="AI90:AI96" si="75">X90*$C90</f>
        <v>#DIV/0!</v>
      </c>
      <c r="AJ90" s="92" t="e">
        <f t="shared" ref="AJ90:AJ96" si="76">Y90*$C90</f>
        <v>#DIV/0!</v>
      </c>
      <c r="AK90" s="92" t="e">
        <f t="shared" ref="AK90:AK96" si="77">Z90*$C90</f>
        <v>#DIV/0!</v>
      </c>
      <c r="AL90" s="92" t="e">
        <f t="shared" ref="AL90:AL96" si="78">AA90*$C90</f>
        <v>#DIV/0!</v>
      </c>
      <c r="AM90" s="92" t="e">
        <f t="shared" ref="AM90:AM96" si="79">AB90*$C90</f>
        <v>#DIV/0!</v>
      </c>
      <c r="AN90" s="92" t="e">
        <f t="shared" ref="AN90:AN96" si="80">AC90*$C90</f>
        <v>#DIV/0!</v>
      </c>
      <c r="AO90" s="92" t="e">
        <f t="shared" ref="AO90:AO96" si="81">AD90*$C90</f>
        <v>#DIV/0!</v>
      </c>
      <c r="AP90" s="92" t="e">
        <f t="shared" ref="AP90:AP96" si="82">AE90*$C90</f>
        <v>#DIV/0!</v>
      </c>
      <c r="AQ90" s="621" t="e">
        <f t="shared" ref="AQ90:AR96" si="83">AF90*$C90</f>
        <v>#DIV/0!</v>
      </c>
      <c r="AR90" s="621" t="e">
        <f t="shared" si="83"/>
        <v>#DIV/0!</v>
      </c>
    </row>
    <row r="91" spans="2:44">
      <c r="B91" s="570" t="s">
        <v>205</v>
      </c>
      <c r="C91" s="179"/>
      <c r="D91" s="70">
        <f t="shared" si="73"/>
        <v>0</v>
      </c>
      <c r="E91" s="179"/>
      <c r="F91" s="179"/>
      <c r="G91" s="179"/>
      <c r="H91" s="179"/>
      <c r="I91" s="179"/>
      <c r="J91" s="179"/>
      <c r="K91" s="179"/>
      <c r="L91" s="179"/>
      <c r="M91" s="179"/>
      <c r="N91" s="179"/>
      <c r="X91" s="70" t="e">
        <f t="shared" ref="X91:X96" si="84">E91/$D91</f>
        <v>#DIV/0!</v>
      </c>
      <c r="Y91" s="70" t="e">
        <f t="shared" si="74"/>
        <v>#DIV/0!</v>
      </c>
      <c r="Z91" s="70" t="e">
        <f t="shared" si="74"/>
        <v>#DIV/0!</v>
      </c>
      <c r="AA91" s="70" t="e">
        <f t="shared" si="74"/>
        <v>#DIV/0!</v>
      </c>
      <c r="AB91" s="70" t="e">
        <f t="shared" si="74"/>
        <v>#DIV/0!</v>
      </c>
      <c r="AC91" s="70" t="e">
        <f t="shared" si="74"/>
        <v>#DIV/0!</v>
      </c>
      <c r="AD91" s="70" t="e">
        <f t="shared" si="74"/>
        <v>#DIV/0!</v>
      </c>
      <c r="AE91" s="70" t="e">
        <f t="shared" si="74"/>
        <v>#DIV/0!</v>
      </c>
      <c r="AF91" s="70" t="e">
        <f t="shared" si="74"/>
        <v>#DIV/0!</v>
      </c>
      <c r="AG91" s="618" t="e">
        <f t="shared" si="74"/>
        <v>#DIV/0!</v>
      </c>
      <c r="AH91" s="88"/>
      <c r="AI91" s="613" t="e">
        <f t="shared" si="75"/>
        <v>#DIV/0!</v>
      </c>
      <c r="AJ91" s="92" t="e">
        <f t="shared" si="76"/>
        <v>#DIV/0!</v>
      </c>
      <c r="AK91" s="92" t="e">
        <f t="shared" si="77"/>
        <v>#DIV/0!</v>
      </c>
      <c r="AL91" s="92" t="e">
        <f t="shared" si="78"/>
        <v>#DIV/0!</v>
      </c>
      <c r="AM91" s="92" t="e">
        <f t="shared" si="79"/>
        <v>#DIV/0!</v>
      </c>
      <c r="AN91" s="92" t="e">
        <f t="shared" si="80"/>
        <v>#DIV/0!</v>
      </c>
      <c r="AO91" s="92" t="e">
        <f t="shared" si="81"/>
        <v>#DIV/0!</v>
      </c>
      <c r="AP91" s="92" t="e">
        <f t="shared" si="82"/>
        <v>#DIV/0!</v>
      </c>
      <c r="AQ91" s="621" t="e">
        <f t="shared" si="83"/>
        <v>#DIV/0!</v>
      </c>
      <c r="AR91" s="621" t="e">
        <f t="shared" si="83"/>
        <v>#DIV/0!</v>
      </c>
    </row>
    <row r="92" spans="2:44">
      <c r="B92" s="570" t="s">
        <v>76</v>
      </c>
      <c r="C92" s="179"/>
      <c r="D92" s="70">
        <f t="shared" si="73"/>
        <v>100</v>
      </c>
      <c r="E92" s="179">
        <v>100</v>
      </c>
      <c r="F92" s="179"/>
      <c r="G92" s="179"/>
      <c r="H92" s="179"/>
      <c r="I92" s="179"/>
      <c r="J92" s="179"/>
      <c r="K92" s="179"/>
      <c r="L92" s="179"/>
      <c r="M92" s="179"/>
      <c r="N92" s="179"/>
      <c r="X92" s="70">
        <f t="shared" si="84"/>
        <v>1</v>
      </c>
      <c r="Y92" s="70">
        <f t="shared" si="74"/>
        <v>0</v>
      </c>
      <c r="Z92" s="70">
        <f t="shared" si="74"/>
        <v>0</v>
      </c>
      <c r="AA92" s="70">
        <f t="shared" si="74"/>
        <v>0</v>
      </c>
      <c r="AB92" s="70">
        <f t="shared" si="74"/>
        <v>0</v>
      </c>
      <c r="AC92" s="70">
        <f t="shared" si="74"/>
        <v>0</v>
      </c>
      <c r="AD92" s="70">
        <f t="shared" si="74"/>
        <v>0</v>
      </c>
      <c r="AE92" s="70">
        <f t="shared" si="74"/>
        <v>0</v>
      </c>
      <c r="AF92" s="70">
        <f t="shared" si="74"/>
        <v>0</v>
      </c>
      <c r="AG92" s="618">
        <f t="shared" si="74"/>
        <v>0</v>
      </c>
      <c r="AH92" s="88"/>
      <c r="AI92" s="613">
        <f t="shared" si="75"/>
        <v>0</v>
      </c>
      <c r="AJ92" s="92">
        <f t="shared" si="76"/>
        <v>0</v>
      </c>
      <c r="AK92" s="92">
        <f t="shared" si="77"/>
        <v>0</v>
      </c>
      <c r="AL92" s="92">
        <f t="shared" si="78"/>
        <v>0</v>
      </c>
      <c r="AM92" s="92">
        <f t="shared" si="79"/>
        <v>0</v>
      </c>
      <c r="AN92" s="92">
        <f t="shared" si="80"/>
        <v>0</v>
      </c>
      <c r="AO92" s="92">
        <f t="shared" si="81"/>
        <v>0</v>
      </c>
      <c r="AP92" s="92">
        <f t="shared" si="82"/>
        <v>0</v>
      </c>
      <c r="AQ92" s="621">
        <f t="shared" si="83"/>
        <v>0</v>
      </c>
      <c r="AR92" s="621">
        <f t="shared" si="83"/>
        <v>0</v>
      </c>
    </row>
    <row r="93" spans="2:44">
      <c r="B93" s="570" t="s">
        <v>416</v>
      </c>
      <c r="C93" s="179"/>
      <c r="D93" s="70">
        <f t="shared" si="73"/>
        <v>100</v>
      </c>
      <c r="E93" s="179">
        <v>100</v>
      </c>
      <c r="F93" s="179"/>
      <c r="G93" s="179"/>
      <c r="H93" s="179"/>
      <c r="I93" s="179"/>
      <c r="J93" s="179"/>
      <c r="K93" s="179"/>
      <c r="L93" s="179"/>
      <c r="M93" s="179"/>
      <c r="N93" s="179"/>
      <c r="X93" s="70">
        <f t="shared" si="84"/>
        <v>1</v>
      </c>
      <c r="Y93" s="70">
        <f t="shared" si="74"/>
        <v>0</v>
      </c>
      <c r="Z93" s="70">
        <f t="shared" si="74"/>
        <v>0</v>
      </c>
      <c r="AA93" s="70">
        <f t="shared" si="74"/>
        <v>0</v>
      </c>
      <c r="AB93" s="70">
        <f t="shared" si="74"/>
        <v>0</v>
      </c>
      <c r="AC93" s="70">
        <f t="shared" si="74"/>
        <v>0</v>
      </c>
      <c r="AD93" s="70">
        <f t="shared" si="74"/>
        <v>0</v>
      </c>
      <c r="AE93" s="70">
        <f t="shared" si="74"/>
        <v>0</v>
      </c>
      <c r="AF93" s="70">
        <f t="shared" si="74"/>
        <v>0</v>
      </c>
      <c r="AG93" s="618">
        <f t="shared" si="74"/>
        <v>0</v>
      </c>
      <c r="AH93" s="88"/>
      <c r="AI93" s="613">
        <f t="shared" si="75"/>
        <v>0</v>
      </c>
      <c r="AJ93" s="92">
        <f t="shared" si="76"/>
        <v>0</v>
      </c>
      <c r="AK93" s="92">
        <f t="shared" si="77"/>
        <v>0</v>
      </c>
      <c r="AL93" s="92">
        <f t="shared" si="78"/>
        <v>0</v>
      </c>
      <c r="AM93" s="92">
        <f t="shared" si="79"/>
        <v>0</v>
      </c>
      <c r="AN93" s="92">
        <f t="shared" si="80"/>
        <v>0</v>
      </c>
      <c r="AO93" s="92">
        <f t="shared" si="81"/>
        <v>0</v>
      </c>
      <c r="AP93" s="92">
        <f t="shared" si="82"/>
        <v>0</v>
      </c>
      <c r="AQ93" s="621">
        <f t="shared" si="83"/>
        <v>0</v>
      </c>
      <c r="AR93" s="621">
        <f t="shared" si="83"/>
        <v>0</v>
      </c>
    </row>
    <row r="94" spans="2:44">
      <c r="B94" s="570" t="s">
        <v>417</v>
      </c>
      <c r="C94" s="179"/>
      <c r="D94" s="70">
        <f t="shared" si="73"/>
        <v>100</v>
      </c>
      <c r="E94" s="179">
        <v>100</v>
      </c>
      <c r="F94" s="179"/>
      <c r="G94" s="179"/>
      <c r="H94" s="179"/>
      <c r="I94" s="179"/>
      <c r="J94" s="179"/>
      <c r="K94" s="179"/>
      <c r="L94" s="179"/>
      <c r="M94" s="179"/>
      <c r="N94" s="179"/>
      <c r="X94" s="70">
        <f t="shared" si="84"/>
        <v>1</v>
      </c>
      <c r="Y94" s="70">
        <f t="shared" si="74"/>
        <v>0</v>
      </c>
      <c r="Z94" s="70">
        <f t="shared" si="74"/>
        <v>0</v>
      </c>
      <c r="AA94" s="70">
        <f t="shared" si="74"/>
        <v>0</v>
      </c>
      <c r="AB94" s="70">
        <f t="shared" si="74"/>
        <v>0</v>
      </c>
      <c r="AC94" s="70">
        <f t="shared" si="74"/>
        <v>0</v>
      </c>
      <c r="AD94" s="70">
        <f t="shared" si="74"/>
        <v>0</v>
      </c>
      <c r="AE94" s="70">
        <f t="shared" si="74"/>
        <v>0</v>
      </c>
      <c r="AF94" s="70">
        <f t="shared" si="74"/>
        <v>0</v>
      </c>
      <c r="AG94" s="618">
        <f t="shared" si="74"/>
        <v>0</v>
      </c>
      <c r="AH94" s="88"/>
      <c r="AI94" s="613">
        <f t="shared" si="75"/>
        <v>0</v>
      </c>
      <c r="AJ94" s="92">
        <f t="shared" si="76"/>
        <v>0</v>
      </c>
      <c r="AK94" s="92">
        <f t="shared" si="77"/>
        <v>0</v>
      </c>
      <c r="AL94" s="92">
        <f t="shared" si="78"/>
        <v>0</v>
      </c>
      <c r="AM94" s="92">
        <f t="shared" si="79"/>
        <v>0</v>
      </c>
      <c r="AN94" s="92">
        <f t="shared" si="80"/>
        <v>0</v>
      </c>
      <c r="AO94" s="92">
        <f t="shared" si="81"/>
        <v>0</v>
      </c>
      <c r="AP94" s="92">
        <f t="shared" si="82"/>
        <v>0</v>
      </c>
      <c r="AQ94" s="621">
        <f t="shared" si="83"/>
        <v>0</v>
      </c>
      <c r="AR94" s="621">
        <f t="shared" si="83"/>
        <v>0</v>
      </c>
    </row>
    <row r="95" spans="2:44">
      <c r="B95" s="570" t="s">
        <v>196</v>
      </c>
      <c r="C95" s="179"/>
      <c r="D95" s="70">
        <f t="shared" si="73"/>
        <v>100</v>
      </c>
      <c r="E95" s="179">
        <v>100</v>
      </c>
      <c r="F95" s="179"/>
      <c r="G95" s="179"/>
      <c r="H95" s="179"/>
      <c r="I95" s="179"/>
      <c r="J95" s="179"/>
      <c r="K95" s="179"/>
      <c r="L95" s="179"/>
      <c r="M95" s="179"/>
      <c r="N95" s="179"/>
      <c r="X95" s="70">
        <f t="shared" si="84"/>
        <v>1</v>
      </c>
      <c r="Y95" s="70">
        <f t="shared" si="74"/>
        <v>0</v>
      </c>
      <c r="Z95" s="70">
        <f t="shared" si="74"/>
        <v>0</v>
      </c>
      <c r="AA95" s="70">
        <f t="shared" si="74"/>
        <v>0</v>
      </c>
      <c r="AB95" s="70">
        <f t="shared" si="74"/>
        <v>0</v>
      </c>
      <c r="AC95" s="70">
        <f t="shared" si="74"/>
        <v>0</v>
      </c>
      <c r="AD95" s="70">
        <f t="shared" si="74"/>
        <v>0</v>
      </c>
      <c r="AE95" s="70">
        <f t="shared" si="74"/>
        <v>0</v>
      </c>
      <c r="AF95" s="70">
        <f t="shared" si="74"/>
        <v>0</v>
      </c>
      <c r="AG95" s="618">
        <f t="shared" si="74"/>
        <v>0</v>
      </c>
      <c r="AH95" s="88"/>
      <c r="AI95" s="613">
        <f t="shared" si="75"/>
        <v>0</v>
      </c>
      <c r="AJ95" s="92">
        <f t="shared" si="76"/>
        <v>0</v>
      </c>
      <c r="AK95" s="92">
        <f t="shared" si="77"/>
        <v>0</v>
      </c>
      <c r="AL95" s="92">
        <f t="shared" si="78"/>
        <v>0</v>
      </c>
      <c r="AM95" s="92">
        <f t="shared" si="79"/>
        <v>0</v>
      </c>
      <c r="AN95" s="92">
        <f t="shared" si="80"/>
        <v>0</v>
      </c>
      <c r="AO95" s="92">
        <f t="shared" si="81"/>
        <v>0</v>
      </c>
      <c r="AP95" s="92">
        <f t="shared" si="82"/>
        <v>0</v>
      </c>
      <c r="AQ95" s="621">
        <f t="shared" si="83"/>
        <v>0</v>
      </c>
      <c r="AR95" s="621">
        <f t="shared" si="83"/>
        <v>0</v>
      </c>
    </row>
    <row r="96" spans="2:44">
      <c r="B96" s="570" t="s">
        <v>221</v>
      </c>
      <c r="C96" s="179"/>
      <c r="D96" s="70">
        <f t="shared" si="73"/>
        <v>0</v>
      </c>
      <c r="E96" s="179"/>
      <c r="F96" s="179"/>
      <c r="G96" s="179"/>
      <c r="H96" s="179"/>
      <c r="I96" s="179"/>
      <c r="J96" s="179"/>
      <c r="K96" s="179"/>
      <c r="L96" s="179"/>
      <c r="M96" s="179"/>
      <c r="N96" s="179"/>
      <c r="X96" s="70" t="e">
        <f t="shared" si="84"/>
        <v>#DIV/0!</v>
      </c>
      <c r="Y96" s="70" t="e">
        <f t="shared" si="74"/>
        <v>#DIV/0!</v>
      </c>
      <c r="Z96" s="70" t="e">
        <f t="shared" si="74"/>
        <v>#DIV/0!</v>
      </c>
      <c r="AA96" s="70" t="e">
        <f t="shared" si="74"/>
        <v>#DIV/0!</v>
      </c>
      <c r="AB96" s="70" t="e">
        <f t="shared" si="74"/>
        <v>#DIV/0!</v>
      </c>
      <c r="AC96" s="70" t="e">
        <f t="shared" si="74"/>
        <v>#DIV/0!</v>
      </c>
      <c r="AD96" s="70" t="e">
        <f t="shared" si="74"/>
        <v>#DIV/0!</v>
      </c>
      <c r="AE96" s="70" t="e">
        <f t="shared" si="74"/>
        <v>#DIV/0!</v>
      </c>
      <c r="AF96" s="70" t="e">
        <f t="shared" si="74"/>
        <v>#DIV/0!</v>
      </c>
      <c r="AG96" s="618" t="e">
        <f t="shared" si="74"/>
        <v>#DIV/0!</v>
      </c>
      <c r="AH96" s="88"/>
      <c r="AI96" s="613" t="e">
        <f t="shared" si="75"/>
        <v>#DIV/0!</v>
      </c>
      <c r="AJ96" s="92" t="e">
        <f t="shared" si="76"/>
        <v>#DIV/0!</v>
      </c>
      <c r="AK96" s="92" t="e">
        <f t="shared" si="77"/>
        <v>#DIV/0!</v>
      </c>
      <c r="AL96" s="92" t="e">
        <f t="shared" si="78"/>
        <v>#DIV/0!</v>
      </c>
      <c r="AM96" s="92" t="e">
        <f t="shared" si="79"/>
        <v>#DIV/0!</v>
      </c>
      <c r="AN96" s="92" t="e">
        <f t="shared" si="80"/>
        <v>#DIV/0!</v>
      </c>
      <c r="AO96" s="92" t="e">
        <f t="shared" si="81"/>
        <v>#DIV/0!</v>
      </c>
      <c r="AP96" s="92" t="e">
        <f t="shared" si="82"/>
        <v>#DIV/0!</v>
      </c>
      <c r="AQ96" s="621" t="e">
        <f t="shared" si="83"/>
        <v>#DIV/0!</v>
      </c>
      <c r="AR96" s="621" t="e">
        <f t="shared" si="83"/>
        <v>#DIV/0!</v>
      </c>
    </row>
    <row r="97" spans="2:44">
      <c r="B97" s="67" t="s">
        <v>69</v>
      </c>
      <c r="C97" s="98">
        <f>SUM(C90:C96)</f>
        <v>0</v>
      </c>
      <c r="E97" s="69" t="e">
        <f t="shared" ref="E97:N97" si="85">AI97</f>
        <v>#DIV/0!</v>
      </c>
      <c r="F97" s="69" t="e">
        <f t="shared" si="85"/>
        <v>#DIV/0!</v>
      </c>
      <c r="G97" s="69" t="e">
        <f t="shared" si="85"/>
        <v>#DIV/0!</v>
      </c>
      <c r="H97" s="69" t="e">
        <f t="shared" si="85"/>
        <v>#DIV/0!</v>
      </c>
      <c r="I97" s="69" t="e">
        <f t="shared" si="85"/>
        <v>#DIV/0!</v>
      </c>
      <c r="J97" s="69" t="e">
        <f t="shared" si="85"/>
        <v>#DIV/0!</v>
      </c>
      <c r="K97" s="69" t="e">
        <f t="shared" si="85"/>
        <v>#DIV/0!</v>
      </c>
      <c r="L97" s="69" t="e">
        <f t="shared" si="85"/>
        <v>#DIV/0!</v>
      </c>
      <c r="M97" s="69" t="e">
        <f t="shared" si="85"/>
        <v>#DIV/0!</v>
      </c>
      <c r="N97" s="69" t="e">
        <f t="shared" si="85"/>
        <v>#DIV/0!</v>
      </c>
      <c r="AI97" s="505" t="e">
        <f>SUM(AI90:AI96)</f>
        <v>#DIV/0!</v>
      </c>
      <c r="AJ97" s="505" t="e">
        <f t="shared" ref="AJ97:AQ97" si="86">SUM(AJ90:AJ96)</f>
        <v>#DIV/0!</v>
      </c>
      <c r="AK97" s="505" t="e">
        <f t="shared" si="86"/>
        <v>#DIV/0!</v>
      </c>
      <c r="AL97" s="505" t="e">
        <f t="shared" si="86"/>
        <v>#DIV/0!</v>
      </c>
      <c r="AM97" s="505" t="e">
        <f t="shared" si="86"/>
        <v>#DIV/0!</v>
      </c>
      <c r="AN97" s="505" t="e">
        <f t="shared" si="86"/>
        <v>#DIV/0!</v>
      </c>
      <c r="AO97" s="505" t="e">
        <f t="shared" si="86"/>
        <v>#DIV/0!</v>
      </c>
      <c r="AP97" s="505" t="e">
        <f t="shared" si="86"/>
        <v>#DIV/0!</v>
      </c>
      <c r="AQ97" s="625" t="e">
        <f t="shared" si="86"/>
        <v>#DIV/0!</v>
      </c>
      <c r="AR97" s="625" t="e">
        <f>SUM(AR90:AR96)</f>
        <v>#DIV/0!</v>
      </c>
    </row>
    <row r="98" spans="2:44">
      <c r="B98" s="68"/>
      <c r="C98" s="88"/>
      <c r="D98" s="68"/>
      <c r="E98" s="68"/>
      <c r="F98" s="68"/>
      <c r="G98" s="68"/>
      <c r="H98" s="68"/>
      <c r="I98" s="68"/>
      <c r="J98" s="68"/>
      <c r="K98" s="68"/>
      <c r="L98" s="68"/>
      <c r="M98" s="68"/>
      <c r="X98" s="64" t="str">
        <f>B99</f>
        <v>LEASE PAYMENTS</v>
      </c>
      <c r="AQ98" s="615"/>
      <c r="AR98" s="615"/>
    </row>
    <row r="99" spans="2:44" s="67" customFormat="1" ht="24" customHeight="1">
      <c r="B99" s="489" t="s">
        <v>101</v>
      </c>
      <c r="C99" s="508" t="s">
        <v>11</v>
      </c>
      <c r="D99" s="509" t="s">
        <v>391</v>
      </c>
      <c r="E99" s="492" t="str">
        <f>IF('About My Ranch'!$D$6="X","Cow-Calf","")</f>
        <v>Cow-Calf</v>
      </c>
      <c r="F99" s="492" t="str">
        <f>IF('About My Ranch'!$D$7="X","Repl Hfr","")</f>
        <v/>
      </c>
      <c r="G99" s="492" t="str">
        <f>IF('About My Ranch'!$D$9="X","Bckgrdr","")</f>
        <v/>
      </c>
      <c r="H99" s="492" t="str">
        <f>IF('About My Ranch'!$D$10="X","Grasser","")</f>
        <v/>
      </c>
      <c r="I99" s="492" t="str">
        <f>IF('About My Ranch'!$D$11="x","Finisher","")</f>
        <v/>
      </c>
      <c r="J99" s="492" t="str">
        <f>IF('About My Ranch'!$D$12="X","Forage","")</f>
        <v/>
      </c>
      <c r="K99" s="492" t="str">
        <f>IF('About My Ranch'!$D$13="x","Grazing","")</f>
        <v/>
      </c>
      <c r="L99" s="492" t="str">
        <f>IF('About My Ranch'!$D$14="x","Grain","")</f>
        <v/>
      </c>
      <c r="M99" s="492" t="str">
        <f>IF('About My Ranch'!$D$15="x",'About My Ranch'!D94,"")</f>
        <v/>
      </c>
      <c r="N99" s="610" t="str">
        <f>IF('About My Ranch'!$D$8="x","Ranch-Raised Bull","")</f>
        <v/>
      </c>
      <c r="X99" s="102" t="str">
        <f t="shared" ref="X99:AG99" si="87">E99</f>
        <v>Cow-Calf</v>
      </c>
      <c r="Y99" s="102" t="str">
        <f t="shared" si="87"/>
        <v/>
      </c>
      <c r="Z99" s="102" t="str">
        <f t="shared" si="87"/>
        <v/>
      </c>
      <c r="AA99" s="102" t="str">
        <f t="shared" si="87"/>
        <v/>
      </c>
      <c r="AB99" s="102" t="str">
        <f t="shared" si="87"/>
        <v/>
      </c>
      <c r="AC99" s="102" t="str">
        <f t="shared" si="87"/>
        <v/>
      </c>
      <c r="AD99" s="102" t="str">
        <f t="shared" si="87"/>
        <v/>
      </c>
      <c r="AE99" s="102" t="str">
        <f t="shared" si="87"/>
        <v/>
      </c>
      <c r="AF99" s="102" t="str">
        <f t="shared" si="87"/>
        <v/>
      </c>
      <c r="AG99" s="617" t="str">
        <f t="shared" si="87"/>
        <v/>
      </c>
      <c r="AH99" s="95"/>
      <c r="AI99" s="612" t="str">
        <f t="shared" ref="AI99:AR99" si="88">E99</f>
        <v>Cow-Calf</v>
      </c>
      <c r="AJ99" s="102" t="str">
        <f t="shared" si="88"/>
        <v/>
      </c>
      <c r="AK99" s="102" t="str">
        <f t="shared" si="88"/>
        <v/>
      </c>
      <c r="AL99" s="102" t="str">
        <f t="shared" si="88"/>
        <v/>
      </c>
      <c r="AM99" s="102" t="str">
        <f t="shared" si="88"/>
        <v/>
      </c>
      <c r="AN99" s="102" t="str">
        <f t="shared" si="88"/>
        <v/>
      </c>
      <c r="AO99" s="102" t="str">
        <f t="shared" si="88"/>
        <v/>
      </c>
      <c r="AP99" s="102" t="str">
        <f t="shared" si="88"/>
        <v/>
      </c>
      <c r="AQ99" s="620" t="str">
        <f t="shared" si="88"/>
        <v/>
      </c>
      <c r="AR99" s="620" t="str">
        <f t="shared" si="88"/>
        <v/>
      </c>
    </row>
    <row r="100" spans="2:44" ht="15">
      <c r="B100" s="183"/>
      <c r="C100" s="184"/>
      <c r="D100" s="70">
        <f>SUM(E100:N100)</f>
        <v>100</v>
      </c>
      <c r="E100" s="179">
        <v>100</v>
      </c>
      <c r="F100" s="179"/>
      <c r="G100" s="179"/>
      <c r="H100" s="179"/>
      <c r="I100" s="179"/>
      <c r="J100" s="179"/>
      <c r="K100" s="179"/>
      <c r="L100" s="179"/>
      <c r="M100" s="179"/>
      <c r="N100" s="179"/>
      <c r="X100" s="70">
        <f t="shared" ref="X100:AG101" si="89">E100/$D100</f>
        <v>1</v>
      </c>
      <c r="Y100" s="70">
        <f t="shared" si="89"/>
        <v>0</v>
      </c>
      <c r="Z100" s="70">
        <f t="shared" si="89"/>
        <v>0</v>
      </c>
      <c r="AA100" s="70">
        <f t="shared" si="89"/>
        <v>0</v>
      </c>
      <c r="AB100" s="70">
        <f t="shared" si="89"/>
        <v>0</v>
      </c>
      <c r="AC100" s="70">
        <f t="shared" si="89"/>
        <v>0</v>
      </c>
      <c r="AD100" s="70">
        <f t="shared" si="89"/>
        <v>0</v>
      </c>
      <c r="AE100" s="70">
        <f t="shared" si="89"/>
        <v>0</v>
      </c>
      <c r="AF100" s="70">
        <f t="shared" si="89"/>
        <v>0</v>
      </c>
      <c r="AG100" s="618">
        <f t="shared" si="89"/>
        <v>0</v>
      </c>
      <c r="AH100" s="88"/>
      <c r="AI100" s="613">
        <f t="shared" ref="AI100:AR101" si="90">X100*$C100</f>
        <v>0</v>
      </c>
      <c r="AJ100" s="92">
        <f t="shared" si="90"/>
        <v>0</v>
      </c>
      <c r="AK100" s="92">
        <f t="shared" si="90"/>
        <v>0</v>
      </c>
      <c r="AL100" s="92">
        <f t="shared" si="90"/>
        <v>0</v>
      </c>
      <c r="AM100" s="92">
        <f t="shared" si="90"/>
        <v>0</v>
      </c>
      <c r="AN100" s="92">
        <f t="shared" si="90"/>
        <v>0</v>
      </c>
      <c r="AO100" s="92">
        <f t="shared" si="90"/>
        <v>0</v>
      </c>
      <c r="AP100" s="92">
        <f t="shared" si="90"/>
        <v>0</v>
      </c>
      <c r="AQ100" s="621">
        <f t="shared" si="90"/>
        <v>0</v>
      </c>
      <c r="AR100" s="621">
        <f t="shared" si="90"/>
        <v>0</v>
      </c>
    </row>
    <row r="101" spans="2:44" ht="18" customHeight="1">
      <c r="B101" s="183"/>
      <c r="C101" s="179"/>
      <c r="D101" s="70">
        <f>SUM(E101:N101)</f>
        <v>100</v>
      </c>
      <c r="E101" s="179">
        <v>100</v>
      </c>
      <c r="F101" s="179"/>
      <c r="G101" s="179"/>
      <c r="H101" s="179"/>
      <c r="I101" s="179"/>
      <c r="J101" s="179"/>
      <c r="K101" s="179"/>
      <c r="L101" s="179"/>
      <c r="M101" s="179"/>
      <c r="N101" s="179"/>
      <c r="X101" s="70">
        <f t="shared" si="89"/>
        <v>1</v>
      </c>
      <c r="Y101" s="70">
        <f t="shared" si="89"/>
        <v>0</v>
      </c>
      <c r="Z101" s="70">
        <f t="shared" si="89"/>
        <v>0</v>
      </c>
      <c r="AA101" s="70">
        <f t="shared" si="89"/>
        <v>0</v>
      </c>
      <c r="AB101" s="70">
        <f t="shared" si="89"/>
        <v>0</v>
      </c>
      <c r="AC101" s="70">
        <f t="shared" si="89"/>
        <v>0</v>
      </c>
      <c r="AD101" s="70">
        <f t="shared" si="89"/>
        <v>0</v>
      </c>
      <c r="AE101" s="70">
        <f t="shared" si="89"/>
        <v>0</v>
      </c>
      <c r="AF101" s="70">
        <f t="shared" si="89"/>
        <v>0</v>
      </c>
      <c r="AG101" s="618">
        <f t="shared" si="89"/>
        <v>0</v>
      </c>
      <c r="AH101" s="88"/>
      <c r="AI101" s="613">
        <f t="shared" si="90"/>
        <v>0</v>
      </c>
      <c r="AJ101" s="92">
        <f t="shared" si="90"/>
        <v>0</v>
      </c>
      <c r="AK101" s="92">
        <f t="shared" si="90"/>
        <v>0</v>
      </c>
      <c r="AL101" s="92">
        <f t="shared" si="90"/>
        <v>0</v>
      </c>
      <c r="AM101" s="92">
        <f t="shared" si="90"/>
        <v>0</v>
      </c>
      <c r="AN101" s="92">
        <f t="shared" si="90"/>
        <v>0</v>
      </c>
      <c r="AO101" s="92">
        <f t="shared" si="90"/>
        <v>0</v>
      </c>
      <c r="AP101" s="92">
        <f t="shared" si="90"/>
        <v>0</v>
      </c>
      <c r="AQ101" s="621">
        <f t="shared" si="90"/>
        <v>0</v>
      </c>
      <c r="AR101" s="621">
        <f t="shared" si="90"/>
        <v>0</v>
      </c>
    </row>
    <row r="102" spans="2:44">
      <c r="B102" s="95" t="s">
        <v>68</v>
      </c>
      <c r="C102" s="69">
        <f>SUM(C100:C101)</f>
        <v>0</v>
      </c>
      <c r="D102" s="88"/>
      <c r="E102" s="69">
        <f t="shared" ref="E102:N102" si="91">AI102</f>
        <v>0</v>
      </c>
      <c r="F102" s="69">
        <f t="shared" si="91"/>
        <v>0</v>
      </c>
      <c r="G102" s="69">
        <f t="shared" si="91"/>
        <v>0</v>
      </c>
      <c r="H102" s="69">
        <f t="shared" si="91"/>
        <v>0</v>
      </c>
      <c r="I102" s="69">
        <f t="shared" si="91"/>
        <v>0</v>
      </c>
      <c r="J102" s="69">
        <f t="shared" si="91"/>
        <v>0</v>
      </c>
      <c r="K102" s="69">
        <f t="shared" si="91"/>
        <v>0</v>
      </c>
      <c r="L102" s="69">
        <f t="shared" si="91"/>
        <v>0</v>
      </c>
      <c r="M102" s="69">
        <f t="shared" si="91"/>
        <v>0</v>
      </c>
      <c r="N102" s="69">
        <f t="shared" si="91"/>
        <v>0</v>
      </c>
      <c r="AI102" s="511">
        <f>SUM(AI100:AI101)</f>
        <v>0</v>
      </c>
      <c r="AJ102" s="511">
        <f t="shared" ref="AJ102:AQ102" si="92">SUM(AJ100:AJ101)</f>
        <v>0</v>
      </c>
      <c r="AK102" s="511">
        <f t="shared" si="92"/>
        <v>0</v>
      </c>
      <c r="AL102" s="511">
        <f t="shared" si="92"/>
        <v>0</v>
      </c>
      <c r="AM102" s="511">
        <f t="shared" si="92"/>
        <v>0</v>
      </c>
      <c r="AN102" s="511">
        <f t="shared" si="92"/>
        <v>0</v>
      </c>
      <c r="AO102" s="511">
        <f t="shared" si="92"/>
        <v>0</v>
      </c>
      <c r="AP102" s="511">
        <f t="shared" si="92"/>
        <v>0</v>
      </c>
      <c r="AQ102" s="624">
        <f t="shared" si="92"/>
        <v>0</v>
      </c>
      <c r="AR102" s="624">
        <f>SUM(AR100:AR101)</f>
        <v>0</v>
      </c>
    </row>
    <row r="103" spans="2:44" ht="15">
      <c r="B103" s="100"/>
      <c r="C103" s="65"/>
      <c r="D103" s="101"/>
      <c r="E103" s="65"/>
      <c r="F103" s="65"/>
      <c r="G103" s="65"/>
      <c r="H103" s="65"/>
      <c r="I103" s="65"/>
      <c r="J103" s="65"/>
      <c r="K103" s="65"/>
      <c r="L103" s="65"/>
      <c r="M103" s="95"/>
      <c r="X103" s="64" t="str">
        <f>B104</f>
        <v>INTEREST &amp; BANK CHARGES</v>
      </c>
      <c r="AQ103" s="615"/>
      <c r="AR103" s="615"/>
    </row>
    <row r="104" spans="2:44" s="67" customFormat="1" ht="23.25" customHeight="1">
      <c r="B104" s="489" t="s">
        <v>418</v>
      </c>
      <c r="C104" s="508" t="s">
        <v>11</v>
      </c>
      <c r="D104" s="509" t="s">
        <v>391</v>
      </c>
      <c r="E104" s="492" t="str">
        <f>IF('About My Ranch'!$D$6="X","Cow-Calf","")</f>
        <v>Cow-Calf</v>
      </c>
      <c r="F104" s="492" t="str">
        <f>IF('About My Ranch'!$D$7="X","Repl Hfr","")</f>
        <v/>
      </c>
      <c r="G104" s="492" t="str">
        <f>IF('About My Ranch'!$D$9="X","Bckgrdr","")</f>
        <v/>
      </c>
      <c r="H104" s="492" t="str">
        <f>IF('About My Ranch'!$D$10="X","Grasser","")</f>
        <v/>
      </c>
      <c r="I104" s="492" t="str">
        <f>IF('About My Ranch'!$D$11="x","Finisher","")</f>
        <v/>
      </c>
      <c r="J104" s="492" t="str">
        <f>IF('About My Ranch'!$D$12="X","Forage","")</f>
        <v/>
      </c>
      <c r="K104" s="492" t="str">
        <f>IF('About My Ranch'!$D$13="x","Grazing","")</f>
        <v/>
      </c>
      <c r="L104" s="492" t="str">
        <f>IF('About My Ranch'!$D$14="x","Grain","")</f>
        <v/>
      </c>
      <c r="M104" s="492" t="str">
        <f>IF('About My Ranch'!$D$15="x",'About My Ranch'!D99,"")</f>
        <v/>
      </c>
      <c r="N104" s="610" t="str">
        <f>IF('About My Ranch'!$D$8="x","Ranch-Raised Bull","")</f>
        <v/>
      </c>
      <c r="X104" s="102" t="str">
        <f t="shared" ref="X104:AG104" si="93">E104</f>
        <v>Cow-Calf</v>
      </c>
      <c r="Y104" s="102" t="str">
        <f t="shared" si="93"/>
        <v/>
      </c>
      <c r="Z104" s="102" t="str">
        <f t="shared" si="93"/>
        <v/>
      </c>
      <c r="AA104" s="102" t="str">
        <f t="shared" si="93"/>
        <v/>
      </c>
      <c r="AB104" s="102" t="str">
        <f t="shared" si="93"/>
        <v/>
      </c>
      <c r="AC104" s="102" t="str">
        <f t="shared" si="93"/>
        <v/>
      </c>
      <c r="AD104" s="102" t="str">
        <f t="shared" si="93"/>
        <v/>
      </c>
      <c r="AE104" s="102" t="str">
        <f t="shared" si="93"/>
        <v/>
      </c>
      <c r="AF104" s="102" t="str">
        <f t="shared" si="93"/>
        <v/>
      </c>
      <c r="AG104" s="617" t="str">
        <f t="shared" si="93"/>
        <v/>
      </c>
      <c r="AH104" s="95"/>
      <c r="AI104" s="612" t="str">
        <f t="shared" ref="AI104:AR104" si="94">E104</f>
        <v>Cow-Calf</v>
      </c>
      <c r="AJ104" s="102" t="str">
        <f t="shared" si="94"/>
        <v/>
      </c>
      <c r="AK104" s="102" t="str">
        <f t="shared" si="94"/>
        <v/>
      </c>
      <c r="AL104" s="102" t="str">
        <f t="shared" si="94"/>
        <v/>
      </c>
      <c r="AM104" s="102" t="str">
        <f t="shared" si="94"/>
        <v/>
      </c>
      <c r="AN104" s="102" t="str">
        <f t="shared" si="94"/>
        <v/>
      </c>
      <c r="AO104" s="102" t="str">
        <f t="shared" si="94"/>
        <v/>
      </c>
      <c r="AP104" s="102" t="str">
        <f t="shared" si="94"/>
        <v/>
      </c>
      <c r="AQ104" s="620" t="str">
        <f t="shared" si="94"/>
        <v/>
      </c>
      <c r="AR104" s="620" t="str">
        <f t="shared" si="94"/>
        <v/>
      </c>
    </row>
    <row r="105" spans="2:44">
      <c r="B105" s="570" t="s">
        <v>147</v>
      </c>
      <c r="C105" s="179"/>
      <c r="D105" s="70">
        <f>SUM(E105:N105)</f>
        <v>0</v>
      </c>
      <c r="E105" s="179"/>
      <c r="F105" s="179"/>
      <c r="G105" s="179"/>
      <c r="H105" s="179"/>
      <c r="I105" s="179"/>
      <c r="J105" s="179"/>
      <c r="K105" s="179"/>
      <c r="L105" s="179"/>
      <c r="M105" s="179"/>
      <c r="N105" s="179"/>
      <c r="X105" s="70" t="e">
        <f t="shared" ref="X105:AE107" si="95">E105/$D105</f>
        <v>#DIV/0!</v>
      </c>
      <c r="Y105" s="70" t="e">
        <f t="shared" si="95"/>
        <v>#DIV/0!</v>
      </c>
      <c r="Z105" s="70" t="e">
        <f t="shared" si="95"/>
        <v>#DIV/0!</v>
      </c>
      <c r="AA105" s="70" t="e">
        <f t="shared" si="95"/>
        <v>#DIV/0!</v>
      </c>
      <c r="AB105" s="70" t="e">
        <f t="shared" si="95"/>
        <v>#DIV/0!</v>
      </c>
      <c r="AC105" s="70" t="e">
        <f t="shared" si="95"/>
        <v>#DIV/0!</v>
      </c>
      <c r="AD105" s="70" t="e">
        <f t="shared" si="95"/>
        <v>#DIV/0!</v>
      </c>
      <c r="AE105" s="70" t="e">
        <f t="shared" si="95"/>
        <v>#DIV/0!</v>
      </c>
      <c r="AF105" s="70" t="e">
        <f t="shared" ref="AF105:AG107" si="96">M105/$D105</f>
        <v>#DIV/0!</v>
      </c>
      <c r="AG105" s="618" t="e">
        <f t="shared" si="96"/>
        <v>#DIV/0!</v>
      </c>
      <c r="AH105" s="88"/>
      <c r="AI105" s="613" t="e">
        <f t="shared" ref="AI105:AP107" si="97">X105*$C105</f>
        <v>#DIV/0!</v>
      </c>
      <c r="AJ105" s="92" t="e">
        <f t="shared" si="97"/>
        <v>#DIV/0!</v>
      </c>
      <c r="AK105" s="92" t="e">
        <f t="shared" si="97"/>
        <v>#DIV/0!</v>
      </c>
      <c r="AL105" s="92" t="e">
        <f t="shared" si="97"/>
        <v>#DIV/0!</v>
      </c>
      <c r="AM105" s="92" t="e">
        <f t="shared" si="97"/>
        <v>#DIV/0!</v>
      </c>
      <c r="AN105" s="92" t="e">
        <f t="shared" si="97"/>
        <v>#DIV/0!</v>
      </c>
      <c r="AO105" s="92" t="e">
        <f t="shared" si="97"/>
        <v>#DIV/0!</v>
      </c>
      <c r="AP105" s="92" t="e">
        <f t="shared" si="97"/>
        <v>#DIV/0!</v>
      </c>
      <c r="AQ105" s="621" t="e">
        <f t="shared" ref="AQ105:AR107" si="98">AF105*$C105</f>
        <v>#DIV/0!</v>
      </c>
      <c r="AR105" s="621" t="e">
        <f t="shared" si="98"/>
        <v>#DIV/0!</v>
      </c>
    </row>
    <row r="106" spans="2:44">
      <c r="B106" s="570" t="s">
        <v>14</v>
      </c>
      <c r="C106" s="179"/>
      <c r="D106" s="70">
        <f>SUM(E106:N106)</f>
        <v>0</v>
      </c>
      <c r="E106" s="179"/>
      <c r="F106" s="179"/>
      <c r="G106" s="179"/>
      <c r="H106" s="179"/>
      <c r="I106" s="179"/>
      <c r="J106" s="179"/>
      <c r="K106" s="179"/>
      <c r="L106" s="179"/>
      <c r="M106" s="179"/>
      <c r="N106" s="179"/>
      <c r="X106" s="70" t="e">
        <f t="shared" si="95"/>
        <v>#DIV/0!</v>
      </c>
      <c r="Y106" s="70" t="e">
        <f t="shared" si="95"/>
        <v>#DIV/0!</v>
      </c>
      <c r="Z106" s="70" t="e">
        <f t="shared" si="95"/>
        <v>#DIV/0!</v>
      </c>
      <c r="AA106" s="70" t="e">
        <f t="shared" si="95"/>
        <v>#DIV/0!</v>
      </c>
      <c r="AB106" s="70" t="e">
        <f t="shared" si="95"/>
        <v>#DIV/0!</v>
      </c>
      <c r="AC106" s="70" t="e">
        <f t="shared" si="95"/>
        <v>#DIV/0!</v>
      </c>
      <c r="AD106" s="70" t="e">
        <f t="shared" si="95"/>
        <v>#DIV/0!</v>
      </c>
      <c r="AE106" s="70" t="e">
        <f t="shared" si="95"/>
        <v>#DIV/0!</v>
      </c>
      <c r="AF106" s="70" t="e">
        <f t="shared" si="96"/>
        <v>#DIV/0!</v>
      </c>
      <c r="AG106" s="618" t="e">
        <f t="shared" si="96"/>
        <v>#DIV/0!</v>
      </c>
      <c r="AH106" s="88"/>
      <c r="AI106" s="613" t="e">
        <f t="shared" si="97"/>
        <v>#DIV/0!</v>
      </c>
      <c r="AJ106" s="92" t="e">
        <f t="shared" si="97"/>
        <v>#DIV/0!</v>
      </c>
      <c r="AK106" s="92" t="e">
        <f t="shared" si="97"/>
        <v>#DIV/0!</v>
      </c>
      <c r="AL106" s="92" t="e">
        <f t="shared" si="97"/>
        <v>#DIV/0!</v>
      </c>
      <c r="AM106" s="92" t="e">
        <f t="shared" si="97"/>
        <v>#DIV/0!</v>
      </c>
      <c r="AN106" s="92" t="e">
        <f t="shared" si="97"/>
        <v>#DIV/0!</v>
      </c>
      <c r="AO106" s="92" t="e">
        <f t="shared" si="97"/>
        <v>#DIV/0!</v>
      </c>
      <c r="AP106" s="92" t="e">
        <f t="shared" si="97"/>
        <v>#DIV/0!</v>
      </c>
      <c r="AQ106" s="621" t="e">
        <f t="shared" si="98"/>
        <v>#DIV/0!</v>
      </c>
      <c r="AR106" s="621" t="e">
        <f t="shared" si="98"/>
        <v>#DIV/0!</v>
      </c>
    </row>
    <row r="107" spans="2:44">
      <c r="B107" s="570" t="s">
        <v>419</v>
      </c>
      <c r="C107" s="179"/>
      <c r="D107" s="70">
        <f>SUM(E107:N107)</f>
        <v>0</v>
      </c>
      <c r="E107" s="179"/>
      <c r="F107" s="179"/>
      <c r="G107" s="179"/>
      <c r="H107" s="179"/>
      <c r="I107" s="179"/>
      <c r="J107" s="179"/>
      <c r="K107" s="179"/>
      <c r="L107" s="179"/>
      <c r="M107" s="179"/>
      <c r="N107" s="179"/>
      <c r="X107" s="70" t="e">
        <f t="shared" si="95"/>
        <v>#DIV/0!</v>
      </c>
      <c r="Y107" s="70" t="e">
        <f t="shared" si="95"/>
        <v>#DIV/0!</v>
      </c>
      <c r="Z107" s="70" t="e">
        <f t="shared" si="95"/>
        <v>#DIV/0!</v>
      </c>
      <c r="AA107" s="70" t="e">
        <f t="shared" si="95"/>
        <v>#DIV/0!</v>
      </c>
      <c r="AB107" s="70" t="e">
        <f t="shared" si="95"/>
        <v>#DIV/0!</v>
      </c>
      <c r="AC107" s="70" t="e">
        <f t="shared" si="95"/>
        <v>#DIV/0!</v>
      </c>
      <c r="AD107" s="70" t="e">
        <f t="shared" si="95"/>
        <v>#DIV/0!</v>
      </c>
      <c r="AE107" s="70" t="e">
        <f t="shared" si="95"/>
        <v>#DIV/0!</v>
      </c>
      <c r="AF107" s="70" t="e">
        <f t="shared" si="96"/>
        <v>#DIV/0!</v>
      </c>
      <c r="AG107" s="618" t="e">
        <f t="shared" si="96"/>
        <v>#DIV/0!</v>
      </c>
      <c r="AH107" s="88"/>
      <c r="AI107" s="613" t="e">
        <f t="shared" si="97"/>
        <v>#DIV/0!</v>
      </c>
      <c r="AJ107" s="92" t="e">
        <f t="shared" si="97"/>
        <v>#DIV/0!</v>
      </c>
      <c r="AK107" s="92" t="e">
        <f t="shared" si="97"/>
        <v>#DIV/0!</v>
      </c>
      <c r="AL107" s="92" t="e">
        <f t="shared" si="97"/>
        <v>#DIV/0!</v>
      </c>
      <c r="AM107" s="92" t="e">
        <f t="shared" si="97"/>
        <v>#DIV/0!</v>
      </c>
      <c r="AN107" s="92" t="e">
        <f t="shared" si="97"/>
        <v>#DIV/0!</v>
      </c>
      <c r="AO107" s="92" t="e">
        <f t="shared" si="97"/>
        <v>#DIV/0!</v>
      </c>
      <c r="AP107" s="92" t="e">
        <f t="shared" si="97"/>
        <v>#DIV/0!</v>
      </c>
      <c r="AQ107" s="621" t="e">
        <f t="shared" si="98"/>
        <v>#DIV/0!</v>
      </c>
      <c r="AR107" s="621" t="e">
        <f t="shared" si="98"/>
        <v>#DIV/0!</v>
      </c>
    </row>
    <row r="108" spans="2:44">
      <c r="B108" s="95" t="s">
        <v>67</v>
      </c>
      <c r="C108" s="69">
        <f>SUM(C105:C107)</f>
        <v>0</v>
      </c>
      <c r="D108" s="88"/>
      <c r="E108" s="69" t="e">
        <f t="shared" ref="E108:N108" si="99">AI108</f>
        <v>#DIV/0!</v>
      </c>
      <c r="F108" s="69" t="e">
        <f t="shared" si="99"/>
        <v>#DIV/0!</v>
      </c>
      <c r="G108" s="69" t="e">
        <f t="shared" si="99"/>
        <v>#DIV/0!</v>
      </c>
      <c r="H108" s="69" t="e">
        <f t="shared" si="99"/>
        <v>#DIV/0!</v>
      </c>
      <c r="I108" s="69" t="e">
        <f t="shared" si="99"/>
        <v>#DIV/0!</v>
      </c>
      <c r="J108" s="69" t="e">
        <f t="shared" si="99"/>
        <v>#DIV/0!</v>
      </c>
      <c r="K108" s="69" t="e">
        <f t="shared" si="99"/>
        <v>#DIV/0!</v>
      </c>
      <c r="L108" s="69" t="e">
        <f t="shared" si="99"/>
        <v>#DIV/0!</v>
      </c>
      <c r="M108" s="69" t="e">
        <f t="shared" si="99"/>
        <v>#DIV/0!</v>
      </c>
      <c r="N108" s="69" t="e">
        <f t="shared" si="99"/>
        <v>#DIV/0!</v>
      </c>
      <c r="AI108" s="511" t="e">
        <f>SUM(AI105:AI107)</f>
        <v>#DIV/0!</v>
      </c>
      <c r="AJ108" s="511" t="e">
        <f t="shared" ref="AJ108:AQ108" si="100">SUM(AJ105:AJ107)</f>
        <v>#DIV/0!</v>
      </c>
      <c r="AK108" s="511" t="e">
        <f t="shared" si="100"/>
        <v>#DIV/0!</v>
      </c>
      <c r="AL108" s="511" t="e">
        <f t="shared" si="100"/>
        <v>#DIV/0!</v>
      </c>
      <c r="AM108" s="511" t="e">
        <f t="shared" si="100"/>
        <v>#DIV/0!</v>
      </c>
      <c r="AN108" s="511" t="e">
        <f t="shared" si="100"/>
        <v>#DIV/0!</v>
      </c>
      <c r="AO108" s="511" t="e">
        <f t="shared" si="100"/>
        <v>#DIV/0!</v>
      </c>
      <c r="AP108" s="511" t="e">
        <f t="shared" si="100"/>
        <v>#DIV/0!</v>
      </c>
      <c r="AQ108" s="624" t="e">
        <f t="shared" si="100"/>
        <v>#DIV/0!</v>
      </c>
      <c r="AR108" s="624" t="e">
        <f>SUM(AR105:AR107)</f>
        <v>#DIV/0!</v>
      </c>
    </row>
    <row r="109" spans="2:44">
      <c r="B109" s="68"/>
      <c r="C109" s="88"/>
      <c r="D109" s="88"/>
      <c r="E109" s="88"/>
      <c r="F109" s="88"/>
      <c r="G109" s="88"/>
      <c r="H109" s="88"/>
      <c r="I109" s="88"/>
      <c r="J109" s="88"/>
      <c r="K109" s="88"/>
      <c r="L109" s="88"/>
      <c r="X109" s="64" t="str">
        <f>B110</f>
        <v>TRUCKING/MARKETING</v>
      </c>
      <c r="AQ109" s="615"/>
      <c r="AR109" s="615"/>
    </row>
    <row r="110" spans="2:44" s="67" customFormat="1" ht="24.75" customHeight="1">
      <c r="B110" s="489" t="s">
        <v>102</v>
      </c>
      <c r="C110" s="508" t="s">
        <v>11</v>
      </c>
      <c r="D110" s="509" t="s">
        <v>391</v>
      </c>
      <c r="E110" s="492" t="str">
        <f>IF('About My Ranch'!$D$6="X","Cow-Calf","")</f>
        <v>Cow-Calf</v>
      </c>
      <c r="F110" s="492" t="str">
        <f>IF('About My Ranch'!$D$7="X","Repl Hfr","")</f>
        <v/>
      </c>
      <c r="G110" s="492" t="str">
        <f>IF('About My Ranch'!$D$9="X","Bckgrdr","")</f>
        <v/>
      </c>
      <c r="H110" s="492" t="str">
        <f>IF('About My Ranch'!$D$10="X","Grasser","")</f>
        <v/>
      </c>
      <c r="I110" s="492" t="str">
        <f>IF('About My Ranch'!$D$11="x","Finisher","")</f>
        <v/>
      </c>
      <c r="J110" s="492" t="str">
        <f>IF('About My Ranch'!$D$12="X","Forage","")</f>
        <v/>
      </c>
      <c r="K110" s="492" t="str">
        <f>IF('About My Ranch'!$D$13="x","Grazing","")</f>
        <v/>
      </c>
      <c r="L110" s="492" t="str">
        <f>IF('About My Ranch'!$D$14="x","Grain","")</f>
        <v/>
      </c>
      <c r="M110" s="492" t="str">
        <f>IF('About My Ranch'!$D$15="x",'About My Ranch'!D111,"")</f>
        <v/>
      </c>
      <c r="N110" s="610" t="str">
        <f>IF('About My Ranch'!$D$8="x","Ranch-Raised Bull","")</f>
        <v/>
      </c>
      <c r="X110" s="102" t="str">
        <f t="shared" ref="X110:AG110" si="101">E110</f>
        <v>Cow-Calf</v>
      </c>
      <c r="Y110" s="102" t="str">
        <f t="shared" si="101"/>
        <v/>
      </c>
      <c r="Z110" s="102" t="str">
        <f t="shared" si="101"/>
        <v/>
      </c>
      <c r="AA110" s="102" t="str">
        <f t="shared" si="101"/>
        <v/>
      </c>
      <c r="AB110" s="102" t="str">
        <f t="shared" si="101"/>
        <v/>
      </c>
      <c r="AC110" s="102" t="str">
        <f t="shared" si="101"/>
        <v/>
      </c>
      <c r="AD110" s="102" t="str">
        <f t="shared" si="101"/>
        <v/>
      </c>
      <c r="AE110" s="102" t="str">
        <f t="shared" si="101"/>
        <v/>
      </c>
      <c r="AF110" s="102" t="str">
        <f t="shared" si="101"/>
        <v/>
      </c>
      <c r="AG110" s="617" t="str">
        <f t="shared" si="101"/>
        <v/>
      </c>
      <c r="AH110" s="95"/>
      <c r="AI110" s="612" t="str">
        <f t="shared" ref="AI110:AR110" si="102">E110</f>
        <v>Cow-Calf</v>
      </c>
      <c r="AJ110" s="102" t="str">
        <f t="shared" si="102"/>
        <v/>
      </c>
      <c r="AK110" s="102" t="str">
        <f t="shared" si="102"/>
        <v/>
      </c>
      <c r="AL110" s="102" t="str">
        <f t="shared" si="102"/>
        <v/>
      </c>
      <c r="AM110" s="102" t="str">
        <f t="shared" si="102"/>
        <v/>
      </c>
      <c r="AN110" s="102" t="str">
        <f t="shared" si="102"/>
        <v/>
      </c>
      <c r="AO110" s="102" t="str">
        <f t="shared" si="102"/>
        <v/>
      </c>
      <c r="AP110" s="102" t="str">
        <f t="shared" si="102"/>
        <v/>
      </c>
      <c r="AQ110" s="620" t="str">
        <f t="shared" si="102"/>
        <v/>
      </c>
      <c r="AR110" s="620" t="str">
        <f t="shared" si="102"/>
        <v/>
      </c>
    </row>
    <row r="111" spans="2:44">
      <c r="B111" s="570" t="s">
        <v>213</v>
      </c>
      <c r="C111" s="179"/>
      <c r="D111" s="70">
        <f>SUM(E111:N111)</f>
        <v>0</v>
      </c>
      <c r="E111" s="179"/>
      <c r="F111" s="179"/>
      <c r="G111" s="179"/>
      <c r="H111" s="179"/>
      <c r="I111" s="179"/>
      <c r="J111" s="179"/>
      <c r="K111" s="179"/>
      <c r="L111" s="179"/>
      <c r="M111" s="179"/>
      <c r="N111" s="179"/>
      <c r="X111" s="70" t="e">
        <f t="shared" ref="X111:AE113" si="103">E111/$D111</f>
        <v>#DIV/0!</v>
      </c>
      <c r="Y111" s="70" t="e">
        <f t="shared" si="103"/>
        <v>#DIV/0!</v>
      </c>
      <c r="Z111" s="70" t="e">
        <f t="shared" si="103"/>
        <v>#DIV/0!</v>
      </c>
      <c r="AA111" s="70" t="e">
        <f t="shared" si="103"/>
        <v>#DIV/0!</v>
      </c>
      <c r="AB111" s="70" t="e">
        <f t="shared" si="103"/>
        <v>#DIV/0!</v>
      </c>
      <c r="AC111" s="70" t="e">
        <f t="shared" si="103"/>
        <v>#DIV/0!</v>
      </c>
      <c r="AD111" s="70" t="e">
        <f t="shared" si="103"/>
        <v>#DIV/0!</v>
      </c>
      <c r="AE111" s="70" t="e">
        <f t="shared" si="103"/>
        <v>#DIV/0!</v>
      </c>
      <c r="AF111" s="70" t="e">
        <f t="shared" ref="AF111:AG113" si="104">M111/$D111</f>
        <v>#DIV/0!</v>
      </c>
      <c r="AG111" s="618" t="e">
        <f t="shared" si="104"/>
        <v>#DIV/0!</v>
      </c>
      <c r="AH111" s="88"/>
      <c r="AI111" s="613" t="e">
        <f t="shared" ref="AI111:AP113" si="105">X111*$C111</f>
        <v>#DIV/0!</v>
      </c>
      <c r="AJ111" s="92" t="e">
        <f t="shared" si="105"/>
        <v>#DIV/0!</v>
      </c>
      <c r="AK111" s="92" t="e">
        <f t="shared" si="105"/>
        <v>#DIV/0!</v>
      </c>
      <c r="AL111" s="92" t="e">
        <f t="shared" si="105"/>
        <v>#DIV/0!</v>
      </c>
      <c r="AM111" s="92" t="e">
        <f t="shared" si="105"/>
        <v>#DIV/0!</v>
      </c>
      <c r="AN111" s="92" t="e">
        <f t="shared" si="105"/>
        <v>#DIV/0!</v>
      </c>
      <c r="AO111" s="92" t="e">
        <f t="shared" si="105"/>
        <v>#DIV/0!</v>
      </c>
      <c r="AP111" s="92" t="e">
        <f t="shared" si="105"/>
        <v>#DIV/0!</v>
      </c>
      <c r="AQ111" s="621" t="e">
        <f t="shared" ref="AQ111:AR113" si="106">AF111*$C111</f>
        <v>#DIV/0!</v>
      </c>
      <c r="AR111" s="621" t="e">
        <f t="shared" si="106"/>
        <v>#DIV/0!</v>
      </c>
    </row>
    <row r="112" spans="2:44">
      <c r="B112" s="570" t="s">
        <v>446</v>
      </c>
      <c r="C112" s="179"/>
      <c r="D112" s="70">
        <f>SUM(E112:N112)</f>
        <v>0</v>
      </c>
      <c r="E112" s="179"/>
      <c r="F112" s="179"/>
      <c r="G112" s="179"/>
      <c r="H112" s="179"/>
      <c r="I112" s="179"/>
      <c r="J112" s="179"/>
      <c r="K112" s="179"/>
      <c r="L112" s="179"/>
      <c r="M112" s="179"/>
      <c r="N112" s="179"/>
      <c r="X112" s="70" t="e">
        <f t="shared" si="103"/>
        <v>#DIV/0!</v>
      </c>
      <c r="Y112" s="70" t="e">
        <f t="shared" si="103"/>
        <v>#DIV/0!</v>
      </c>
      <c r="Z112" s="70" t="e">
        <f t="shared" si="103"/>
        <v>#DIV/0!</v>
      </c>
      <c r="AA112" s="70" t="e">
        <f t="shared" si="103"/>
        <v>#DIV/0!</v>
      </c>
      <c r="AB112" s="70" t="e">
        <f t="shared" si="103"/>
        <v>#DIV/0!</v>
      </c>
      <c r="AC112" s="70" t="e">
        <f t="shared" si="103"/>
        <v>#DIV/0!</v>
      </c>
      <c r="AD112" s="70" t="e">
        <f t="shared" si="103"/>
        <v>#DIV/0!</v>
      </c>
      <c r="AE112" s="70" t="e">
        <f t="shared" si="103"/>
        <v>#DIV/0!</v>
      </c>
      <c r="AF112" s="70" t="e">
        <f t="shared" si="104"/>
        <v>#DIV/0!</v>
      </c>
      <c r="AG112" s="618" t="e">
        <f t="shared" si="104"/>
        <v>#DIV/0!</v>
      </c>
      <c r="AH112" s="88"/>
      <c r="AI112" s="613" t="e">
        <f t="shared" si="105"/>
        <v>#DIV/0!</v>
      </c>
      <c r="AJ112" s="92" t="e">
        <f t="shared" si="105"/>
        <v>#DIV/0!</v>
      </c>
      <c r="AK112" s="92" t="e">
        <f t="shared" si="105"/>
        <v>#DIV/0!</v>
      </c>
      <c r="AL112" s="92" t="e">
        <f t="shared" si="105"/>
        <v>#DIV/0!</v>
      </c>
      <c r="AM112" s="92" t="e">
        <f t="shared" si="105"/>
        <v>#DIV/0!</v>
      </c>
      <c r="AN112" s="92" t="e">
        <f t="shared" si="105"/>
        <v>#DIV/0!</v>
      </c>
      <c r="AO112" s="92" t="e">
        <f t="shared" si="105"/>
        <v>#DIV/0!</v>
      </c>
      <c r="AP112" s="92" t="e">
        <f t="shared" si="105"/>
        <v>#DIV/0!</v>
      </c>
      <c r="AQ112" s="621" t="e">
        <f t="shared" si="106"/>
        <v>#DIV/0!</v>
      </c>
      <c r="AR112" s="621" t="e">
        <f t="shared" si="106"/>
        <v>#DIV/0!</v>
      </c>
    </row>
    <row r="113" spans="2:44">
      <c r="B113" s="570" t="s">
        <v>424</v>
      </c>
      <c r="C113" s="179"/>
      <c r="D113" s="70">
        <f>SUM(E113:N113)</f>
        <v>0</v>
      </c>
      <c r="E113" s="179"/>
      <c r="F113" s="179"/>
      <c r="G113" s="179"/>
      <c r="H113" s="179"/>
      <c r="I113" s="179"/>
      <c r="J113" s="179"/>
      <c r="K113" s="179"/>
      <c r="L113" s="179"/>
      <c r="M113" s="179"/>
      <c r="N113" s="179"/>
      <c r="X113" s="70" t="e">
        <f t="shared" si="103"/>
        <v>#DIV/0!</v>
      </c>
      <c r="Y113" s="70" t="e">
        <f t="shared" si="103"/>
        <v>#DIV/0!</v>
      </c>
      <c r="Z113" s="70" t="e">
        <f t="shared" si="103"/>
        <v>#DIV/0!</v>
      </c>
      <c r="AA113" s="70" t="e">
        <f t="shared" si="103"/>
        <v>#DIV/0!</v>
      </c>
      <c r="AB113" s="70" t="e">
        <f t="shared" si="103"/>
        <v>#DIV/0!</v>
      </c>
      <c r="AC113" s="70" t="e">
        <f t="shared" si="103"/>
        <v>#DIV/0!</v>
      </c>
      <c r="AD113" s="70" t="e">
        <f t="shared" si="103"/>
        <v>#DIV/0!</v>
      </c>
      <c r="AE113" s="70" t="e">
        <f t="shared" si="103"/>
        <v>#DIV/0!</v>
      </c>
      <c r="AF113" s="70" t="e">
        <f t="shared" si="104"/>
        <v>#DIV/0!</v>
      </c>
      <c r="AG113" s="618" t="e">
        <f t="shared" si="104"/>
        <v>#DIV/0!</v>
      </c>
      <c r="AH113" s="88"/>
      <c r="AI113" s="613" t="e">
        <f t="shared" si="105"/>
        <v>#DIV/0!</v>
      </c>
      <c r="AJ113" s="92" t="e">
        <f t="shared" si="105"/>
        <v>#DIV/0!</v>
      </c>
      <c r="AK113" s="92" t="e">
        <f t="shared" si="105"/>
        <v>#DIV/0!</v>
      </c>
      <c r="AL113" s="92" t="e">
        <f t="shared" si="105"/>
        <v>#DIV/0!</v>
      </c>
      <c r="AM113" s="92" t="e">
        <f t="shared" si="105"/>
        <v>#DIV/0!</v>
      </c>
      <c r="AN113" s="92" t="e">
        <f t="shared" si="105"/>
        <v>#DIV/0!</v>
      </c>
      <c r="AO113" s="92" t="e">
        <f t="shared" si="105"/>
        <v>#DIV/0!</v>
      </c>
      <c r="AP113" s="92" t="e">
        <f t="shared" si="105"/>
        <v>#DIV/0!</v>
      </c>
      <c r="AQ113" s="621" t="e">
        <f t="shared" si="106"/>
        <v>#DIV/0!</v>
      </c>
      <c r="AR113" s="621" t="e">
        <f t="shared" si="106"/>
        <v>#DIV/0!</v>
      </c>
    </row>
    <row r="114" spans="2:44">
      <c r="B114" s="67" t="s">
        <v>66</v>
      </c>
      <c r="C114" s="98">
        <f>SUM(C111:C113)</f>
        <v>0</v>
      </c>
      <c r="E114" s="69" t="e">
        <f t="shared" ref="E114:N114" si="107">AI114</f>
        <v>#DIV/0!</v>
      </c>
      <c r="F114" s="69" t="e">
        <f t="shared" si="107"/>
        <v>#DIV/0!</v>
      </c>
      <c r="G114" s="69" t="e">
        <f t="shared" si="107"/>
        <v>#DIV/0!</v>
      </c>
      <c r="H114" s="69" t="e">
        <f t="shared" si="107"/>
        <v>#DIV/0!</v>
      </c>
      <c r="I114" s="69" t="e">
        <f t="shared" si="107"/>
        <v>#DIV/0!</v>
      </c>
      <c r="J114" s="69" t="e">
        <f t="shared" si="107"/>
        <v>#DIV/0!</v>
      </c>
      <c r="K114" s="69" t="e">
        <f t="shared" si="107"/>
        <v>#DIV/0!</v>
      </c>
      <c r="L114" s="69" t="e">
        <f t="shared" si="107"/>
        <v>#DIV/0!</v>
      </c>
      <c r="M114" s="69" t="e">
        <f t="shared" si="107"/>
        <v>#DIV/0!</v>
      </c>
      <c r="N114" s="69" t="e">
        <f t="shared" si="107"/>
        <v>#DIV/0!</v>
      </c>
      <c r="AI114" s="511" t="e">
        <f>SUM(AI111:AI113)</f>
        <v>#DIV/0!</v>
      </c>
      <c r="AJ114" s="511" t="e">
        <f t="shared" ref="AJ114:AQ114" si="108">SUM(AJ111:AJ113)</f>
        <v>#DIV/0!</v>
      </c>
      <c r="AK114" s="511" t="e">
        <f t="shared" si="108"/>
        <v>#DIV/0!</v>
      </c>
      <c r="AL114" s="511" t="e">
        <f t="shared" si="108"/>
        <v>#DIV/0!</v>
      </c>
      <c r="AM114" s="511" t="e">
        <f t="shared" si="108"/>
        <v>#DIV/0!</v>
      </c>
      <c r="AN114" s="511" t="e">
        <f t="shared" si="108"/>
        <v>#DIV/0!</v>
      </c>
      <c r="AO114" s="511" t="e">
        <f t="shared" si="108"/>
        <v>#DIV/0!</v>
      </c>
      <c r="AP114" s="511" t="e">
        <f t="shared" si="108"/>
        <v>#DIV/0!</v>
      </c>
      <c r="AQ114" s="624" t="e">
        <f t="shared" si="108"/>
        <v>#DIV/0!</v>
      </c>
      <c r="AR114" s="624" t="e">
        <f>SUM(AR111:AR113)</f>
        <v>#DIV/0!</v>
      </c>
    </row>
    <row r="115" spans="2:44">
      <c r="C115" s="64"/>
      <c r="X115" s="64" t="str">
        <f>B116</f>
        <v>CROPPING INPUTS</v>
      </c>
      <c r="AQ115" s="615"/>
      <c r="AR115" s="615"/>
    </row>
    <row r="116" spans="2:44" s="67" customFormat="1" ht="24.75" customHeight="1">
      <c r="B116" s="489" t="s">
        <v>413</v>
      </c>
      <c r="C116" s="508" t="s">
        <v>11</v>
      </c>
      <c r="D116" s="509" t="s">
        <v>391</v>
      </c>
      <c r="E116" s="492" t="str">
        <f>IF('About My Ranch'!$D$6="X","Cow-Calf","")</f>
        <v>Cow-Calf</v>
      </c>
      <c r="F116" s="492" t="str">
        <f>IF('About My Ranch'!$D$7="X","Repl Hfr","")</f>
        <v/>
      </c>
      <c r="G116" s="492" t="str">
        <f>IF('About My Ranch'!$D$9="X","Bckgrdr","")</f>
        <v/>
      </c>
      <c r="H116" s="492" t="str">
        <f>IF('About My Ranch'!$D$10="X","Grasser","")</f>
        <v/>
      </c>
      <c r="I116" s="492" t="str">
        <f>IF('About My Ranch'!$D$11="x","Finisher","")</f>
        <v/>
      </c>
      <c r="J116" s="492" t="str">
        <f>IF('About My Ranch'!$D$12="X","Forage","")</f>
        <v/>
      </c>
      <c r="K116" s="492" t="str">
        <f>IF('About My Ranch'!$D$13="x","Grazing","")</f>
        <v/>
      </c>
      <c r="L116" s="492" t="str">
        <f>IF('About My Ranch'!$D$14="x","Grain","")</f>
        <v/>
      </c>
      <c r="M116" s="492" t="str">
        <f>IF('About My Ranch'!$D$15="x",'About My Ranch'!D117,"")</f>
        <v/>
      </c>
      <c r="N116" s="610" t="str">
        <f>IF('About My Ranch'!$D$8="x","Ranch-Raised Bull","")</f>
        <v/>
      </c>
      <c r="X116" s="102" t="str">
        <f t="shared" ref="X116:AG116" si="109">E116</f>
        <v>Cow-Calf</v>
      </c>
      <c r="Y116" s="102" t="str">
        <f t="shared" si="109"/>
        <v/>
      </c>
      <c r="Z116" s="102" t="str">
        <f t="shared" si="109"/>
        <v/>
      </c>
      <c r="AA116" s="102" t="str">
        <f t="shared" si="109"/>
        <v/>
      </c>
      <c r="AB116" s="102" t="str">
        <f t="shared" si="109"/>
        <v/>
      </c>
      <c r="AC116" s="102" t="str">
        <f t="shared" si="109"/>
        <v/>
      </c>
      <c r="AD116" s="102" t="str">
        <f t="shared" si="109"/>
        <v/>
      </c>
      <c r="AE116" s="102" t="str">
        <f t="shared" si="109"/>
        <v/>
      </c>
      <c r="AF116" s="102" t="str">
        <f t="shared" si="109"/>
        <v/>
      </c>
      <c r="AG116" s="617" t="str">
        <f t="shared" si="109"/>
        <v/>
      </c>
      <c r="AH116" s="95"/>
      <c r="AI116" s="612" t="str">
        <f t="shared" ref="AI116:AR116" si="110">E116</f>
        <v>Cow-Calf</v>
      </c>
      <c r="AJ116" s="102" t="str">
        <f t="shared" si="110"/>
        <v/>
      </c>
      <c r="AK116" s="102" t="str">
        <f t="shared" si="110"/>
        <v/>
      </c>
      <c r="AL116" s="102" t="str">
        <f t="shared" si="110"/>
        <v/>
      </c>
      <c r="AM116" s="102" t="str">
        <f t="shared" si="110"/>
        <v/>
      </c>
      <c r="AN116" s="102" t="str">
        <f t="shared" si="110"/>
        <v/>
      </c>
      <c r="AO116" s="102" t="str">
        <f t="shared" si="110"/>
        <v/>
      </c>
      <c r="AP116" s="102" t="str">
        <f t="shared" si="110"/>
        <v/>
      </c>
      <c r="AQ116" s="620" t="str">
        <f t="shared" si="110"/>
        <v/>
      </c>
      <c r="AR116" s="620" t="str">
        <f t="shared" si="110"/>
        <v/>
      </c>
    </row>
    <row r="117" spans="2:44">
      <c r="B117" s="570" t="s">
        <v>73</v>
      </c>
      <c r="C117" s="179"/>
      <c r="D117" s="70">
        <f>SUM(E117:N117)</f>
        <v>100</v>
      </c>
      <c r="E117" s="179"/>
      <c r="F117" s="179">
        <v>0</v>
      </c>
      <c r="G117" s="179"/>
      <c r="H117" s="179"/>
      <c r="I117" s="179"/>
      <c r="J117" s="179">
        <v>25</v>
      </c>
      <c r="K117" s="179">
        <v>25</v>
      </c>
      <c r="L117" s="179">
        <v>50</v>
      </c>
      <c r="M117" s="179"/>
      <c r="N117" s="179"/>
      <c r="X117" s="70">
        <f t="shared" ref="X117:AE119" si="111">E117/$D117</f>
        <v>0</v>
      </c>
      <c r="Y117" s="70">
        <f t="shared" si="111"/>
        <v>0</v>
      </c>
      <c r="Z117" s="70">
        <f t="shared" si="111"/>
        <v>0</v>
      </c>
      <c r="AA117" s="70">
        <f t="shared" si="111"/>
        <v>0</v>
      </c>
      <c r="AB117" s="70">
        <f t="shared" si="111"/>
        <v>0</v>
      </c>
      <c r="AC117" s="70">
        <f t="shared" si="111"/>
        <v>0.25</v>
      </c>
      <c r="AD117" s="70">
        <f t="shared" si="111"/>
        <v>0.25</v>
      </c>
      <c r="AE117" s="70">
        <f t="shared" si="111"/>
        <v>0.5</v>
      </c>
      <c r="AF117" s="70">
        <f t="shared" ref="AF117:AG119" si="112">M117/$D117</f>
        <v>0</v>
      </c>
      <c r="AG117" s="618">
        <f t="shared" si="112"/>
        <v>0</v>
      </c>
      <c r="AH117" s="88"/>
      <c r="AI117" s="613">
        <f t="shared" ref="AI117:AP119" si="113">X117*$C117</f>
        <v>0</v>
      </c>
      <c r="AJ117" s="92">
        <f t="shared" si="113"/>
        <v>0</v>
      </c>
      <c r="AK117" s="92">
        <f t="shared" si="113"/>
        <v>0</v>
      </c>
      <c r="AL117" s="92">
        <f t="shared" si="113"/>
        <v>0</v>
      </c>
      <c r="AM117" s="92">
        <f t="shared" si="113"/>
        <v>0</v>
      </c>
      <c r="AN117" s="92">
        <f t="shared" si="113"/>
        <v>0</v>
      </c>
      <c r="AO117" s="92">
        <f t="shared" si="113"/>
        <v>0</v>
      </c>
      <c r="AP117" s="92">
        <f t="shared" si="113"/>
        <v>0</v>
      </c>
      <c r="AQ117" s="621">
        <f t="shared" ref="AQ117:AR119" si="114">AF117*$C117</f>
        <v>0</v>
      </c>
      <c r="AR117" s="621">
        <f t="shared" si="114"/>
        <v>0</v>
      </c>
    </row>
    <row r="118" spans="2:44">
      <c r="B118" s="570" t="s">
        <v>84</v>
      </c>
      <c r="C118" s="179"/>
      <c r="D118" s="70">
        <f>SUM(E118:N118)</f>
        <v>100</v>
      </c>
      <c r="E118" s="179"/>
      <c r="F118" s="179"/>
      <c r="G118" s="179"/>
      <c r="H118" s="179"/>
      <c r="I118" s="179"/>
      <c r="J118" s="179">
        <v>50</v>
      </c>
      <c r="K118" s="179"/>
      <c r="L118" s="179">
        <v>50</v>
      </c>
      <c r="M118" s="179"/>
      <c r="N118" s="179"/>
      <c r="X118" s="70">
        <f t="shared" si="111"/>
        <v>0</v>
      </c>
      <c r="Y118" s="70">
        <f t="shared" si="111"/>
        <v>0</v>
      </c>
      <c r="Z118" s="70">
        <f t="shared" si="111"/>
        <v>0</v>
      </c>
      <c r="AA118" s="70">
        <f t="shared" si="111"/>
        <v>0</v>
      </c>
      <c r="AB118" s="70">
        <f t="shared" si="111"/>
        <v>0</v>
      </c>
      <c r="AC118" s="70">
        <f t="shared" si="111"/>
        <v>0.5</v>
      </c>
      <c r="AD118" s="70">
        <f t="shared" si="111"/>
        <v>0</v>
      </c>
      <c r="AE118" s="70">
        <f t="shared" si="111"/>
        <v>0.5</v>
      </c>
      <c r="AF118" s="70">
        <f t="shared" si="112"/>
        <v>0</v>
      </c>
      <c r="AG118" s="618">
        <f t="shared" si="112"/>
        <v>0</v>
      </c>
      <c r="AH118" s="88"/>
      <c r="AI118" s="613">
        <f t="shared" si="113"/>
        <v>0</v>
      </c>
      <c r="AJ118" s="92">
        <f t="shared" si="113"/>
        <v>0</v>
      </c>
      <c r="AK118" s="92">
        <f t="shared" si="113"/>
        <v>0</v>
      </c>
      <c r="AL118" s="92">
        <f t="shared" si="113"/>
        <v>0</v>
      </c>
      <c r="AM118" s="92">
        <f t="shared" si="113"/>
        <v>0</v>
      </c>
      <c r="AN118" s="92">
        <f t="shared" si="113"/>
        <v>0</v>
      </c>
      <c r="AO118" s="92">
        <f t="shared" si="113"/>
        <v>0</v>
      </c>
      <c r="AP118" s="92">
        <f t="shared" si="113"/>
        <v>0</v>
      </c>
      <c r="AQ118" s="621">
        <f t="shared" si="114"/>
        <v>0</v>
      </c>
      <c r="AR118" s="621">
        <f t="shared" si="114"/>
        <v>0</v>
      </c>
    </row>
    <row r="119" spans="2:44">
      <c r="B119" s="570" t="s">
        <v>74</v>
      </c>
      <c r="C119" s="179"/>
      <c r="D119" s="70">
        <f>SUM(E119:N119)</f>
        <v>100</v>
      </c>
      <c r="E119" s="179"/>
      <c r="F119" s="179">
        <v>0</v>
      </c>
      <c r="G119" s="179"/>
      <c r="H119" s="179"/>
      <c r="I119" s="179"/>
      <c r="J119" s="179">
        <v>33</v>
      </c>
      <c r="K119" s="179">
        <v>33</v>
      </c>
      <c r="L119" s="179">
        <v>34</v>
      </c>
      <c r="M119" s="179"/>
      <c r="N119" s="179"/>
      <c r="X119" s="70">
        <f t="shared" si="111"/>
        <v>0</v>
      </c>
      <c r="Y119" s="70">
        <f t="shared" si="111"/>
        <v>0</v>
      </c>
      <c r="Z119" s="70">
        <f t="shared" si="111"/>
        <v>0</v>
      </c>
      <c r="AA119" s="70">
        <f t="shared" si="111"/>
        <v>0</v>
      </c>
      <c r="AB119" s="70">
        <f t="shared" si="111"/>
        <v>0</v>
      </c>
      <c r="AC119" s="70">
        <f t="shared" si="111"/>
        <v>0.33</v>
      </c>
      <c r="AD119" s="70">
        <f t="shared" si="111"/>
        <v>0.33</v>
      </c>
      <c r="AE119" s="70">
        <f t="shared" si="111"/>
        <v>0.34</v>
      </c>
      <c r="AF119" s="70">
        <f t="shared" si="112"/>
        <v>0</v>
      </c>
      <c r="AG119" s="618">
        <f t="shared" si="112"/>
        <v>0</v>
      </c>
      <c r="AH119" s="88"/>
      <c r="AI119" s="613">
        <f t="shared" si="113"/>
        <v>0</v>
      </c>
      <c r="AJ119" s="92">
        <f t="shared" si="113"/>
        <v>0</v>
      </c>
      <c r="AK119" s="92">
        <f t="shared" si="113"/>
        <v>0</v>
      </c>
      <c r="AL119" s="92">
        <f t="shared" si="113"/>
        <v>0</v>
      </c>
      <c r="AM119" s="92">
        <f t="shared" si="113"/>
        <v>0</v>
      </c>
      <c r="AN119" s="92">
        <f t="shared" si="113"/>
        <v>0</v>
      </c>
      <c r="AO119" s="92">
        <f t="shared" si="113"/>
        <v>0</v>
      </c>
      <c r="AP119" s="92">
        <f t="shared" si="113"/>
        <v>0</v>
      </c>
      <c r="AQ119" s="621">
        <f t="shared" si="114"/>
        <v>0</v>
      </c>
      <c r="AR119" s="621">
        <f t="shared" si="114"/>
        <v>0</v>
      </c>
    </row>
    <row r="120" spans="2:44">
      <c r="B120" s="67" t="s">
        <v>414</v>
      </c>
      <c r="C120" s="98">
        <f>SUM(C117)</f>
        <v>0</v>
      </c>
      <c r="E120" s="69">
        <f t="shared" ref="E120:N120" si="115">AI120</f>
        <v>0</v>
      </c>
      <c r="F120" s="69">
        <f t="shared" si="115"/>
        <v>0</v>
      </c>
      <c r="G120" s="69">
        <f t="shared" si="115"/>
        <v>0</v>
      </c>
      <c r="H120" s="69">
        <f t="shared" si="115"/>
        <v>0</v>
      </c>
      <c r="I120" s="69">
        <f t="shared" si="115"/>
        <v>0</v>
      </c>
      <c r="J120" s="69">
        <f t="shared" si="115"/>
        <v>0</v>
      </c>
      <c r="K120" s="69">
        <f t="shared" si="115"/>
        <v>0</v>
      </c>
      <c r="L120" s="69">
        <f t="shared" si="115"/>
        <v>0</v>
      </c>
      <c r="M120" s="69">
        <f t="shared" si="115"/>
        <v>0</v>
      </c>
      <c r="N120" s="69">
        <f t="shared" si="115"/>
        <v>0</v>
      </c>
      <c r="AI120" s="511">
        <f>SUM(AI117:AI119)</f>
        <v>0</v>
      </c>
      <c r="AJ120" s="511">
        <f t="shared" ref="AJ120:AQ120" si="116">SUM(AJ117:AJ119)</f>
        <v>0</v>
      </c>
      <c r="AK120" s="511">
        <f t="shared" si="116"/>
        <v>0</v>
      </c>
      <c r="AL120" s="511">
        <f t="shared" si="116"/>
        <v>0</v>
      </c>
      <c r="AM120" s="511">
        <f t="shared" si="116"/>
        <v>0</v>
      </c>
      <c r="AN120" s="511">
        <f t="shared" si="116"/>
        <v>0</v>
      </c>
      <c r="AO120" s="511">
        <f t="shared" si="116"/>
        <v>0</v>
      </c>
      <c r="AP120" s="511">
        <f t="shared" si="116"/>
        <v>0</v>
      </c>
      <c r="AQ120" s="624">
        <f t="shared" si="116"/>
        <v>0</v>
      </c>
      <c r="AR120" s="624">
        <f>SUM(AR117:AR119)</f>
        <v>0</v>
      </c>
    </row>
    <row r="121" spans="2:44">
      <c r="C121" s="64"/>
      <c r="AQ121" s="615"/>
      <c r="AR121" s="615"/>
    </row>
    <row r="122" spans="2:44">
      <c r="C122" s="64"/>
      <c r="X122" s="64" t="str">
        <f>B123</f>
        <v>TWINE, NETWRAP, SISAL, ETC</v>
      </c>
      <c r="AQ122" s="615"/>
      <c r="AR122" s="615"/>
    </row>
    <row r="123" spans="2:44" s="67" customFormat="1" ht="24" customHeight="1">
      <c r="B123" s="489" t="s">
        <v>415</v>
      </c>
      <c r="C123" s="508" t="s">
        <v>11</v>
      </c>
      <c r="D123" s="509" t="s">
        <v>391</v>
      </c>
      <c r="E123" s="492" t="str">
        <f>IF('About My Ranch'!$D$6="X","Cow-Calf","")</f>
        <v>Cow-Calf</v>
      </c>
      <c r="F123" s="492" t="str">
        <f>IF('About My Ranch'!$D$7="X","Repl Hfr","")</f>
        <v/>
      </c>
      <c r="G123" s="492" t="str">
        <f>IF('About My Ranch'!$D$9="X","Bckgrdr","")</f>
        <v/>
      </c>
      <c r="H123" s="492" t="str">
        <f>IF('About My Ranch'!$D$10="X","Grasser","")</f>
        <v/>
      </c>
      <c r="I123" s="492" t="str">
        <f>IF('About My Ranch'!$D$11="x","Finisher","")</f>
        <v/>
      </c>
      <c r="J123" s="492" t="str">
        <f>IF('About My Ranch'!$D$12="X","Forage","")</f>
        <v/>
      </c>
      <c r="K123" s="492" t="str">
        <f>IF('About My Ranch'!$D$13="x","Grazing","")</f>
        <v/>
      </c>
      <c r="L123" s="492" t="str">
        <f>IF('About My Ranch'!$D$14="x","Grain","")</f>
        <v/>
      </c>
      <c r="M123" s="492" t="str">
        <f>IF('About My Ranch'!$D$15="x",'About My Ranch'!D124,"")</f>
        <v/>
      </c>
      <c r="N123" s="610" t="str">
        <f>IF('About My Ranch'!$D$8="x","Ranch-Raised Bull","")</f>
        <v/>
      </c>
      <c r="X123" s="102" t="str">
        <f t="shared" ref="X123:AG123" si="117">E123</f>
        <v>Cow-Calf</v>
      </c>
      <c r="Y123" s="102" t="str">
        <f t="shared" si="117"/>
        <v/>
      </c>
      <c r="Z123" s="102" t="str">
        <f t="shared" si="117"/>
        <v/>
      </c>
      <c r="AA123" s="102" t="str">
        <f t="shared" si="117"/>
        <v/>
      </c>
      <c r="AB123" s="102" t="str">
        <f t="shared" si="117"/>
        <v/>
      </c>
      <c r="AC123" s="102" t="str">
        <f t="shared" si="117"/>
        <v/>
      </c>
      <c r="AD123" s="102" t="str">
        <f t="shared" si="117"/>
        <v/>
      </c>
      <c r="AE123" s="102" t="str">
        <f t="shared" si="117"/>
        <v/>
      </c>
      <c r="AF123" s="102" t="str">
        <f t="shared" si="117"/>
        <v/>
      </c>
      <c r="AG123" s="617" t="str">
        <f t="shared" si="117"/>
        <v/>
      </c>
      <c r="AH123" s="95"/>
      <c r="AI123" s="612" t="str">
        <f t="shared" ref="AI123:AR123" si="118">E123</f>
        <v>Cow-Calf</v>
      </c>
      <c r="AJ123" s="102" t="str">
        <f t="shared" si="118"/>
        <v/>
      </c>
      <c r="AK123" s="102" t="str">
        <f t="shared" si="118"/>
        <v/>
      </c>
      <c r="AL123" s="102" t="str">
        <f t="shared" si="118"/>
        <v/>
      </c>
      <c r="AM123" s="102" t="str">
        <f t="shared" si="118"/>
        <v/>
      </c>
      <c r="AN123" s="102" t="str">
        <f t="shared" si="118"/>
        <v/>
      </c>
      <c r="AO123" s="102" t="str">
        <f t="shared" si="118"/>
        <v/>
      </c>
      <c r="AP123" s="102" t="str">
        <f t="shared" si="118"/>
        <v/>
      </c>
      <c r="AQ123" s="620" t="str">
        <f t="shared" si="118"/>
        <v/>
      </c>
      <c r="AR123" s="620" t="str">
        <f t="shared" si="118"/>
        <v/>
      </c>
    </row>
    <row r="124" spans="2:44">
      <c r="B124" s="176" t="s">
        <v>216</v>
      </c>
      <c r="C124" s="179"/>
      <c r="D124" s="70">
        <f>SUM(E124:N124)</f>
        <v>100</v>
      </c>
      <c r="E124" s="179"/>
      <c r="F124" s="179"/>
      <c r="G124" s="179"/>
      <c r="H124" s="179"/>
      <c r="I124" s="179"/>
      <c r="J124" s="179">
        <v>100</v>
      </c>
      <c r="K124" s="179"/>
      <c r="L124" s="179"/>
      <c r="M124" s="179"/>
      <c r="N124" s="179"/>
      <c r="X124" s="70">
        <f t="shared" ref="X124:AE126" si="119">E124/$D124</f>
        <v>0</v>
      </c>
      <c r="Y124" s="70">
        <f t="shared" si="119"/>
        <v>0</v>
      </c>
      <c r="Z124" s="70">
        <f t="shared" si="119"/>
        <v>0</v>
      </c>
      <c r="AA124" s="70">
        <f t="shared" si="119"/>
        <v>0</v>
      </c>
      <c r="AB124" s="70">
        <f t="shared" si="119"/>
        <v>0</v>
      </c>
      <c r="AC124" s="70">
        <f t="shared" si="119"/>
        <v>1</v>
      </c>
      <c r="AD124" s="70">
        <f t="shared" si="119"/>
        <v>0</v>
      </c>
      <c r="AE124" s="70">
        <f t="shared" si="119"/>
        <v>0</v>
      </c>
      <c r="AF124" s="70">
        <f t="shared" ref="AF124:AG126" si="120">M124/$D124</f>
        <v>0</v>
      </c>
      <c r="AG124" s="618">
        <f t="shared" si="120"/>
        <v>0</v>
      </c>
      <c r="AH124" s="88"/>
      <c r="AI124" s="613">
        <f t="shared" ref="AI124:AP126" si="121">X124*$C124</f>
        <v>0</v>
      </c>
      <c r="AJ124" s="92">
        <f t="shared" si="121"/>
        <v>0</v>
      </c>
      <c r="AK124" s="92">
        <f t="shared" si="121"/>
        <v>0</v>
      </c>
      <c r="AL124" s="92">
        <f t="shared" si="121"/>
        <v>0</v>
      </c>
      <c r="AM124" s="92">
        <f t="shared" si="121"/>
        <v>0</v>
      </c>
      <c r="AN124" s="92">
        <f t="shared" si="121"/>
        <v>0</v>
      </c>
      <c r="AO124" s="92">
        <f t="shared" si="121"/>
        <v>0</v>
      </c>
      <c r="AP124" s="92">
        <f t="shared" si="121"/>
        <v>0</v>
      </c>
      <c r="AQ124" s="621">
        <f t="shared" ref="AQ124:AR126" si="122">AF124*$C124</f>
        <v>0</v>
      </c>
      <c r="AR124" s="621">
        <f t="shared" si="122"/>
        <v>0</v>
      </c>
    </row>
    <row r="125" spans="2:44" ht="15">
      <c r="B125" s="183"/>
      <c r="C125" s="179"/>
      <c r="D125" s="70">
        <f>SUM(E125:N125)</f>
        <v>100</v>
      </c>
      <c r="E125" s="179"/>
      <c r="F125" s="179"/>
      <c r="G125" s="179"/>
      <c r="H125" s="179"/>
      <c r="I125" s="179"/>
      <c r="J125" s="179">
        <v>100</v>
      </c>
      <c r="K125" s="179"/>
      <c r="L125" s="179"/>
      <c r="M125" s="179"/>
      <c r="N125" s="179"/>
      <c r="X125" s="70">
        <f t="shared" si="119"/>
        <v>0</v>
      </c>
      <c r="Y125" s="70">
        <f t="shared" si="119"/>
        <v>0</v>
      </c>
      <c r="Z125" s="70">
        <f t="shared" si="119"/>
        <v>0</v>
      </c>
      <c r="AA125" s="70">
        <f t="shared" si="119"/>
        <v>0</v>
      </c>
      <c r="AB125" s="70">
        <f t="shared" si="119"/>
        <v>0</v>
      </c>
      <c r="AC125" s="70">
        <f t="shared" si="119"/>
        <v>1</v>
      </c>
      <c r="AD125" s="70">
        <f t="shared" si="119"/>
        <v>0</v>
      </c>
      <c r="AE125" s="70">
        <f t="shared" si="119"/>
        <v>0</v>
      </c>
      <c r="AF125" s="70">
        <f t="shared" si="120"/>
        <v>0</v>
      </c>
      <c r="AG125" s="618">
        <f t="shared" si="120"/>
        <v>0</v>
      </c>
      <c r="AH125" s="88"/>
      <c r="AI125" s="613">
        <f t="shared" si="121"/>
        <v>0</v>
      </c>
      <c r="AJ125" s="92">
        <f t="shared" si="121"/>
        <v>0</v>
      </c>
      <c r="AK125" s="92">
        <f t="shared" si="121"/>
        <v>0</v>
      </c>
      <c r="AL125" s="92">
        <f t="shared" si="121"/>
        <v>0</v>
      </c>
      <c r="AM125" s="92">
        <f t="shared" si="121"/>
        <v>0</v>
      </c>
      <c r="AN125" s="92">
        <f t="shared" si="121"/>
        <v>0</v>
      </c>
      <c r="AO125" s="92">
        <f t="shared" si="121"/>
        <v>0</v>
      </c>
      <c r="AP125" s="92">
        <f t="shared" si="121"/>
        <v>0</v>
      </c>
      <c r="AQ125" s="621">
        <f t="shared" si="122"/>
        <v>0</v>
      </c>
      <c r="AR125" s="621">
        <f t="shared" si="122"/>
        <v>0</v>
      </c>
    </row>
    <row r="126" spans="2:44">
      <c r="B126" s="176"/>
      <c r="C126" s="179"/>
      <c r="D126" s="70">
        <f>SUM(E126:N126)</f>
        <v>100</v>
      </c>
      <c r="E126" s="179"/>
      <c r="F126" s="179">
        <v>0</v>
      </c>
      <c r="G126" s="179"/>
      <c r="H126" s="179"/>
      <c r="I126" s="179"/>
      <c r="J126" s="179">
        <v>100</v>
      </c>
      <c r="K126" s="179"/>
      <c r="L126" s="179"/>
      <c r="M126" s="179"/>
      <c r="N126" s="179"/>
      <c r="X126" s="70">
        <f t="shared" si="119"/>
        <v>0</v>
      </c>
      <c r="Y126" s="70">
        <f t="shared" si="119"/>
        <v>0</v>
      </c>
      <c r="Z126" s="70">
        <f t="shared" si="119"/>
        <v>0</v>
      </c>
      <c r="AA126" s="70">
        <f t="shared" si="119"/>
        <v>0</v>
      </c>
      <c r="AB126" s="70">
        <f t="shared" si="119"/>
        <v>0</v>
      </c>
      <c r="AC126" s="70">
        <f t="shared" si="119"/>
        <v>1</v>
      </c>
      <c r="AD126" s="70">
        <f t="shared" si="119"/>
        <v>0</v>
      </c>
      <c r="AE126" s="70">
        <f t="shared" si="119"/>
        <v>0</v>
      </c>
      <c r="AF126" s="70">
        <f t="shared" si="120"/>
        <v>0</v>
      </c>
      <c r="AG126" s="618">
        <f t="shared" si="120"/>
        <v>0</v>
      </c>
      <c r="AH126" s="88"/>
      <c r="AI126" s="613">
        <f t="shared" si="121"/>
        <v>0</v>
      </c>
      <c r="AJ126" s="92">
        <f t="shared" si="121"/>
        <v>0</v>
      </c>
      <c r="AK126" s="92">
        <f t="shared" si="121"/>
        <v>0</v>
      </c>
      <c r="AL126" s="92">
        <f t="shared" si="121"/>
        <v>0</v>
      </c>
      <c r="AM126" s="92">
        <f t="shared" si="121"/>
        <v>0</v>
      </c>
      <c r="AN126" s="92">
        <f t="shared" si="121"/>
        <v>0</v>
      </c>
      <c r="AO126" s="92">
        <f t="shared" si="121"/>
        <v>0</v>
      </c>
      <c r="AP126" s="92">
        <f t="shared" si="121"/>
        <v>0</v>
      </c>
      <c r="AQ126" s="621">
        <f t="shared" si="122"/>
        <v>0</v>
      </c>
      <c r="AR126" s="621">
        <f t="shared" si="122"/>
        <v>0</v>
      </c>
    </row>
    <row r="127" spans="2:44">
      <c r="B127" s="67" t="s">
        <v>209</v>
      </c>
      <c r="C127" s="98">
        <f>SUM(C124:C126)</f>
        <v>0</v>
      </c>
      <c r="E127" s="69">
        <f t="shared" ref="E127:N127" si="123">AI127</f>
        <v>0</v>
      </c>
      <c r="F127" s="69">
        <f t="shared" si="123"/>
        <v>0</v>
      </c>
      <c r="G127" s="69">
        <f t="shared" si="123"/>
        <v>0</v>
      </c>
      <c r="H127" s="69">
        <f t="shared" si="123"/>
        <v>0</v>
      </c>
      <c r="I127" s="69">
        <f t="shared" si="123"/>
        <v>0</v>
      </c>
      <c r="J127" s="69">
        <f t="shared" si="123"/>
        <v>0</v>
      </c>
      <c r="K127" s="69">
        <f t="shared" si="123"/>
        <v>0</v>
      </c>
      <c r="L127" s="69">
        <f t="shared" si="123"/>
        <v>0</v>
      </c>
      <c r="M127" s="69">
        <f t="shared" si="123"/>
        <v>0</v>
      </c>
      <c r="N127" s="69">
        <f t="shared" si="123"/>
        <v>0</v>
      </c>
      <c r="AI127" s="511">
        <f>SUM(AI124:AI126)</f>
        <v>0</v>
      </c>
      <c r="AJ127" s="511">
        <f t="shared" ref="AJ127:AQ127" si="124">SUM(AJ124:AJ126)</f>
        <v>0</v>
      </c>
      <c r="AK127" s="511">
        <f t="shared" si="124"/>
        <v>0</v>
      </c>
      <c r="AL127" s="511">
        <f t="shared" si="124"/>
        <v>0</v>
      </c>
      <c r="AM127" s="511">
        <f t="shared" si="124"/>
        <v>0</v>
      </c>
      <c r="AN127" s="511">
        <f t="shared" si="124"/>
        <v>0</v>
      </c>
      <c r="AO127" s="511">
        <f t="shared" si="124"/>
        <v>0</v>
      </c>
      <c r="AP127" s="511">
        <f t="shared" si="124"/>
        <v>0</v>
      </c>
      <c r="AQ127" s="624">
        <f t="shared" si="124"/>
        <v>0</v>
      </c>
      <c r="AR127" s="624">
        <f>SUM(AR124:AR126)</f>
        <v>0</v>
      </c>
    </row>
    <row r="128" spans="2:44">
      <c r="B128" s="67"/>
      <c r="C128" s="98"/>
      <c r="E128" s="69"/>
      <c r="F128" s="69"/>
      <c r="G128" s="69"/>
      <c r="H128" s="69"/>
      <c r="I128" s="69"/>
      <c r="J128" s="69"/>
      <c r="K128" s="69"/>
      <c r="L128" s="69"/>
      <c r="X128" s="64" t="str">
        <f>B129</f>
        <v>LAND RENT, STANDING HAY, CROP SHARE</v>
      </c>
      <c r="AQ128" s="615"/>
      <c r="AR128" s="615"/>
    </row>
    <row r="129" spans="2:44" s="67" customFormat="1" ht="26.25" customHeight="1">
      <c r="B129" s="489" t="s">
        <v>115</v>
      </c>
      <c r="C129" s="508" t="s">
        <v>11</v>
      </c>
      <c r="D129" s="509" t="s">
        <v>391</v>
      </c>
      <c r="E129" s="492" t="str">
        <f>IF('About My Ranch'!$D$6="X","Cow-Calf","")</f>
        <v>Cow-Calf</v>
      </c>
      <c r="F129" s="492" t="str">
        <f>IF('About My Ranch'!$D$7="X","Repl Hfr","")</f>
        <v/>
      </c>
      <c r="G129" s="492" t="str">
        <f>IF('About My Ranch'!$D$9="X","Bckgrdr","")</f>
        <v/>
      </c>
      <c r="H129" s="492" t="str">
        <f>IF('About My Ranch'!$D$10="X","Grasser","")</f>
        <v/>
      </c>
      <c r="I129" s="492" t="str">
        <f>IF('About My Ranch'!$D$11="x","Finisher","")</f>
        <v/>
      </c>
      <c r="J129" s="492" t="str">
        <f>IF('About My Ranch'!$D$12="X","Forage","")</f>
        <v/>
      </c>
      <c r="K129" s="492" t="str">
        <f>IF('About My Ranch'!$D$13="x","Grazing","")</f>
        <v/>
      </c>
      <c r="L129" s="492" t="str">
        <f>IF('About My Ranch'!$D$14="x","Grain","")</f>
        <v/>
      </c>
      <c r="M129" s="492" t="str">
        <f>IF('About My Ranch'!$D$15="x",'About My Ranch'!D131,"")</f>
        <v/>
      </c>
      <c r="N129" s="610" t="str">
        <f>IF('About My Ranch'!$D$8="x","Ranch-Raised Bull","")</f>
        <v/>
      </c>
      <c r="X129" s="102" t="str">
        <f t="shared" ref="X129:AG129" si="125">E129</f>
        <v>Cow-Calf</v>
      </c>
      <c r="Y129" s="102" t="str">
        <f t="shared" si="125"/>
        <v/>
      </c>
      <c r="Z129" s="102" t="str">
        <f t="shared" si="125"/>
        <v/>
      </c>
      <c r="AA129" s="102" t="str">
        <f t="shared" si="125"/>
        <v/>
      </c>
      <c r="AB129" s="102" t="str">
        <f t="shared" si="125"/>
        <v/>
      </c>
      <c r="AC129" s="102" t="str">
        <f t="shared" si="125"/>
        <v/>
      </c>
      <c r="AD129" s="102" t="str">
        <f t="shared" si="125"/>
        <v/>
      </c>
      <c r="AE129" s="102" t="str">
        <f t="shared" si="125"/>
        <v/>
      </c>
      <c r="AF129" s="102" t="str">
        <f t="shared" si="125"/>
        <v/>
      </c>
      <c r="AG129" s="617" t="str">
        <f t="shared" si="125"/>
        <v/>
      </c>
      <c r="AH129" s="95"/>
      <c r="AI129" s="612" t="str">
        <f t="shared" ref="AI129:AR129" si="126">E129</f>
        <v>Cow-Calf</v>
      </c>
      <c r="AJ129" s="102" t="str">
        <f t="shared" si="126"/>
        <v/>
      </c>
      <c r="AK129" s="102" t="str">
        <f t="shared" si="126"/>
        <v/>
      </c>
      <c r="AL129" s="102" t="str">
        <f t="shared" si="126"/>
        <v/>
      </c>
      <c r="AM129" s="102" t="str">
        <f t="shared" si="126"/>
        <v/>
      </c>
      <c r="AN129" s="102" t="str">
        <f t="shared" si="126"/>
        <v/>
      </c>
      <c r="AO129" s="102" t="str">
        <f t="shared" si="126"/>
        <v/>
      </c>
      <c r="AP129" s="102" t="str">
        <f t="shared" si="126"/>
        <v/>
      </c>
      <c r="AQ129" s="620" t="str">
        <f t="shared" si="126"/>
        <v/>
      </c>
      <c r="AR129" s="620" t="str">
        <f t="shared" si="126"/>
        <v/>
      </c>
    </row>
    <row r="130" spans="2:44">
      <c r="B130" s="176" t="s">
        <v>212</v>
      </c>
      <c r="C130" s="189"/>
      <c r="D130" s="70">
        <f>SUM(E130:N130)</f>
        <v>100</v>
      </c>
      <c r="E130" s="179"/>
      <c r="F130" s="179"/>
      <c r="G130" s="179"/>
      <c r="H130" s="179"/>
      <c r="I130" s="179"/>
      <c r="J130" s="179">
        <v>100</v>
      </c>
      <c r="K130" s="179"/>
      <c r="L130" s="179"/>
      <c r="M130" s="179"/>
      <c r="N130" s="179"/>
      <c r="X130" s="70">
        <f t="shared" ref="X130:AE132" si="127">E130/$D130</f>
        <v>0</v>
      </c>
      <c r="Y130" s="70">
        <f t="shared" si="127"/>
        <v>0</v>
      </c>
      <c r="Z130" s="70">
        <f t="shared" si="127"/>
        <v>0</v>
      </c>
      <c r="AA130" s="70">
        <f t="shared" si="127"/>
        <v>0</v>
      </c>
      <c r="AB130" s="70">
        <f t="shared" si="127"/>
        <v>0</v>
      </c>
      <c r="AC130" s="70">
        <f t="shared" si="127"/>
        <v>1</v>
      </c>
      <c r="AD130" s="70">
        <f t="shared" si="127"/>
        <v>0</v>
      </c>
      <c r="AE130" s="70">
        <f t="shared" si="127"/>
        <v>0</v>
      </c>
      <c r="AF130" s="70">
        <f t="shared" ref="AF130:AG132" si="128">M130/$D130</f>
        <v>0</v>
      </c>
      <c r="AG130" s="618">
        <f t="shared" si="128"/>
        <v>0</v>
      </c>
      <c r="AH130" s="88"/>
      <c r="AI130" s="613">
        <f t="shared" ref="AI130:AP132" si="129">X130*$C130</f>
        <v>0</v>
      </c>
      <c r="AJ130" s="92">
        <f t="shared" si="129"/>
        <v>0</v>
      </c>
      <c r="AK130" s="92">
        <f t="shared" si="129"/>
        <v>0</v>
      </c>
      <c r="AL130" s="92">
        <f t="shared" si="129"/>
        <v>0</v>
      </c>
      <c r="AM130" s="92">
        <f t="shared" si="129"/>
        <v>0</v>
      </c>
      <c r="AN130" s="92">
        <f t="shared" si="129"/>
        <v>0</v>
      </c>
      <c r="AO130" s="92">
        <f t="shared" si="129"/>
        <v>0</v>
      </c>
      <c r="AP130" s="92">
        <f t="shared" si="129"/>
        <v>0</v>
      </c>
      <c r="AQ130" s="621">
        <f t="shared" ref="AQ130:AR132" si="130">AF130*$C130</f>
        <v>0</v>
      </c>
      <c r="AR130" s="621">
        <f t="shared" si="130"/>
        <v>0</v>
      </c>
    </row>
    <row r="131" spans="2:44" ht="15">
      <c r="B131" s="183"/>
      <c r="C131" s="189"/>
      <c r="D131" s="70">
        <f>SUM(E131:N131)</f>
        <v>100</v>
      </c>
      <c r="E131" s="179"/>
      <c r="F131" s="179"/>
      <c r="G131" s="179"/>
      <c r="H131" s="179"/>
      <c r="I131" s="179"/>
      <c r="J131" s="179">
        <v>100</v>
      </c>
      <c r="K131" s="179"/>
      <c r="L131" s="179"/>
      <c r="M131" s="179"/>
      <c r="N131" s="179"/>
      <c r="X131" s="70">
        <f t="shared" si="127"/>
        <v>0</v>
      </c>
      <c r="Y131" s="70">
        <f t="shared" si="127"/>
        <v>0</v>
      </c>
      <c r="Z131" s="70">
        <f t="shared" si="127"/>
        <v>0</v>
      </c>
      <c r="AA131" s="70">
        <f t="shared" si="127"/>
        <v>0</v>
      </c>
      <c r="AB131" s="70">
        <f t="shared" si="127"/>
        <v>0</v>
      </c>
      <c r="AC131" s="70">
        <f t="shared" si="127"/>
        <v>1</v>
      </c>
      <c r="AD131" s="70">
        <f t="shared" si="127"/>
        <v>0</v>
      </c>
      <c r="AE131" s="70">
        <f t="shared" si="127"/>
        <v>0</v>
      </c>
      <c r="AF131" s="70">
        <f t="shared" si="128"/>
        <v>0</v>
      </c>
      <c r="AG131" s="618">
        <f t="shared" si="128"/>
        <v>0</v>
      </c>
      <c r="AH131" s="88"/>
      <c r="AI131" s="613">
        <f t="shared" si="129"/>
        <v>0</v>
      </c>
      <c r="AJ131" s="92">
        <f t="shared" si="129"/>
        <v>0</v>
      </c>
      <c r="AK131" s="92">
        <f t="shared" si="129"/>
        <v>0</v>
      </c>
      <c r="AL131" s="92">
        <f t="shared" si="129"/>
        <v>0</v>
      </c>
      <c r="AM131" s="92">
        <f t="shared" si="129"/>
        <v>0</v>
      </c>
      <c r="AN131" s="92">
        <f t="shared" si="129"/>
        <v>0</v>
      </c>
      <c r="AO131" s="92">
        <f t="shared" si="129"/>
        <v>0</v>
      </c>
      <c r="AP131" s="92">
        <f t="shared" si="129"/>
        <v>0</v>
      </c>
      <c r="AQ131" s="621">
        <f t="shared" si="130"/>
        <v>0</v>
      </c>
      <c r="AR131" s="621">
        <f t="shared" si="130"/>
        <v>0</v>
      </c>
    </row>
    <row r="132" spans="2:44">
      <c r="B132" s="176"/>
      <c r="C132" s="189"/>
      <c r="D132" s="70">
        <f>SUM(E132:N132)</f>
        <v>100</v>
      </c>
      <c r="E132" s="179">
        <v>0</v>
      </c>
      <c r="F132" s="179">
        <v>0</v>
      </c>
      <c r="G132" s="179"/>
      <c r="H132" s="179"/>
      <c r="I132" s="179"/>
      <c r="J132" s="179">
        <v>100</v>
      </c>
      <c r="K132" s="179"/>
      <c r="L132" s="179"/>
      <c r="M132" s="179"/>
      <c r="N132" s="179"/>
      <c r="X132" s="70">
        <f t="shared" si="127"/>
        <v>0</v>
      </c>
      <c r="Y132" s="70">
        <f t="shared" si="127"/>
        <v>0</v>
      </c>
      <c r="Z132" s="70">
        <f t="shared" si="127"/>
        <v>0</v>
      </c>
      <c r="AA132" s="70">
        <f t="shared" si="127"/>
        <v>0</v>
      </c>
      <c r="AB132" s="70">
        <f t="shared" si="127"/>
        <v>0</v>
      </c>
      <c r="AC132" s="70">
        <f t="shared" si="127"/>
        <v>1</v>
      </c>
      <c r="AD132" s="70">
        <f t="shared" si="127"/>
        <v>0</v>
      </c>
      <c r="AE132" s="70">
        <f t="shared" si="127"/>
        <v>0</v>
      </c>
      <c r="AF132" s="70">
        <f t="shared" si="128"/>
        <v>0</v>
      </c>
      <c r="AG132" s="618">
        <f t="shared" si="128"/>
        <v>0</v>
      </c>
      <c r="AH132" s="88"/>
      <c r="AI132" s="613">
        <f t="shared" si="129"/>
        <v>0</v>
      </c>
      <c r="AJ132" s="92">
        <f t="shared" si="129"/>
        <v>0</v>
      </c>
      <c r="AK132" s="92">
        <f t="shared" si="129"/>
        <v>0</v>
      </c>
      <c r="AL132" s="92">
        <f t="shared" si="129"/>
        <v>0</v>
      </c>
      <c r="AM132" s="92">
        <f t="shared" si="129"/>
        <v>0</v>
      </c>
      <c r="AN132" s="92">
        <f t="shared" si="129"/>
        <v>0</v>
      </c>
      <c r="AO132" s="92">
        <f t="shared" si="129"/>
        <v>0</v>
      </c>
      <c r="AP132" s="92">
        <f t="shared" si="129"/>
        <v>0</v>
      </c>
      <c r="AQ132" s="621">
        <f t="shared" si="130"/>
        <v>0</v>
      </c>
      <c r="AR132" s="621">
        <f t="shared" si="130"/>
        <v>0</v>
      </c>
    </row>
    <row r="133" spans="2:44">
      <c r="B133" s="67" t="s">
        <v>116</v>
      </c>
      <c r="C133" s="98">
        <f>SUM(C130:C132)</f>
        <v>0</v>
      </c>
      <c r="E133" s="69">
        <f t="shared" ref="E133:N133" si="131">AI133</f>
        <v>0</v>
      </c>
      <c r="F133" s="69">
        <f t="shared" si="131"/>
        <v>0</v>
      </c>
      <c r="G133" s="69">
        <f t="shared" si="131"/>
        <v>0</v>
      </c>
      <c r="H133" s="69">
        <f t="shared" si="131"/>
        <v>0</v>
      </c>
      <c r="I133" s="69">
        <f t="shared" si="131"/>
        <v>0</v>
      </c>
      <c r="J133" s="69">
        <f t="shared" si="131"/>
        <v>0</v>
      </c>
      <c r="K133" s="69">
        <f t="shared" si="131"/>
        <v>0</v>
      </c>
      <c r="L133" s="69">
        <f t="shared" si="131"/>
        <v>0</v>
      </c>
      <c r="M133" s="69">
        <f t="shared" si="131"/>
        <v>0</v>
      </c>
      <c r="N133" s="69">
        <f t="shared" si="131"/>
        <v>0</v>
      </c>
      <c r="AI133" s="511">
        <f>SUM(AI130:AI132)</f>
        <v>0</v>
      </c>
      <c r="AJ133" s="511">
        <f t="shared" ref="AJ133:AQ133" si="132">SUM(AJ130:AJ132)</f>
        <v>0</v>
      </c>
      <c r="AK133" s="511">
        <f t="shared" si="132"/>
        <v>0</v>
      </c>
      <c r="AL133" s="511">
        <f t="shared" si="132"/>
        <v>0</v>
      </c>
      <c r="AM133" s="511">
        <f t="shared" si="132"/>
        <v>0</v>
      </c>
      <c r="AN133" s="511">
        <f t="shared" si="132"/>
        <v>0</v>
      </c>
      <c r="AO133" s="511">
        <f t="shared" si="132"/>
        <v>0</v>
      </c>
      <c r="AP133" s="511">
        <f t="shared" si="132"/>
        <v>0</v>
      </c>
      <c r="AQ133" s="511">
        <f t="shared" si="132"/>
        <v>0</v>
      </c>
    </row>
  </sheetData>
  <sheetProtection sheet="1" objects="1" scenarios="1"/>
  <sortState ref="B53:B61">
    <sortCondition ref="B53:B61"/>
  </sortState>
  <mergeCells count="4">
    <mergeCell ref="E37:N37"/>
    <mergeCell ref="E8:J8"/>
    <mergeCell ref="E16:J16"/>
    <mergeCell ref="E24:J24"/>
  </mergeCells>
  <phoneticPr fontId="116" type="noConversion"/>
  <conditionalFormatting sqref="D10:D12">
    <cfRule type="cellIs" dxfId="13" priority="4" operator="lessThan">
      <formula>100</formula>
    </cfRule>
  </conditionalFormatting>
  <conditionalFormatting sqref="D18:D20 D26:D28 D39:D41 D45:D54 D58:D61 D65:D74 D78:D81 D85:D86 D90:D96 D100:D101 D105:D107 D111:D113 D117:D119 D124:D126 D130:D132">
    <cfRule type="cellIs" dxfId="12" priority="2" operator="lessThan">
      <formula>100</formula>
    </cfRule>
    <cfRule type="cellIs" dxfId="11" priority="3" operator="greaterThan">
      <formula>100</formula>
    </cfRule>
  </conditionalFormatting>
  <conditionalFormatting sqref="D39:D41">
    <cfRule type="cellIs" dxfId="10" priority="1" operator="greaterThan">
      <formula>100</formula>
    </cfRule>
  </conditionalFormatting>
  <pageMargins left="0.7" right="0.7" top="0.75" bottom="0.75" header="0.3" footer="0.3"/>
  <headerFooter>
    <oddFooter>&amp;L&amp;A&amp;C&amp;D&amp;R&amp;P of &amp;N</oddFooter>
  </headerFooter>
  <rowBreaks count="4" manualBreakCount="4">
    <brk id="22" max="13" man="1"/>
    <brk id="55" max="13" man="1"/>
    <brk id="87" max="13" man="1"/>
    <brk id="115" max="13" man="1"/>
  </rowBreaks>
  <ignoredErrors>
    <ignoredError sqref="I14" evalError="1"/>
  </ignoredErrors>
  <drawing r:id="rId1"/>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B1:AR8"/>
  <sheetViews>
    <sheetView showGridLines="0" showRowColHeaders="0" workbookViewId="0">
      <selection activeCell="B5" sqref="B5"/>
    </sheetView>
  </sheetViews>
  <sheetFormatPr baseColWidth="10" defaultColWidth="8.83203125" defaultRowHeight="14"/>
  <cols>
    <col min="1" max="1" width="4.1640625" style="74" customWidth="1"/>
    <col min="2" max="2" width="19.1640625" style="74" customWidth="1"/>
    <col min="3" max="4" width="8.83203125" style="74"/>
    <col min="5" max="5" width="9.5" style="74" customWidth="1"/>
    <col min="6" max="6" width="10.5" style="74" customWidth="1"/>
    <col min="7" max="7" width="10.1640625" style="74" bestFit="1" customWidth="1"/>
    <col min="8" max="8" width="9.33203125" style="74" bestFit="1" customWidth="1"/>
    <col min="9" max="9" width="9.33203125" style="74" customWidth="1"/>
    <col min="10" max="14" width="9.33203125" style="74" bestFit="1" customWidth="1"/>
    <col min="15" max="33" width="8.83203125" style="74"/>
    <col min="34" max="34" width="8.83203125" style="375"/>
    <col min="35" max="16384" width="8.83203125" style="74"/>
  </cols>
  <sheetData>
    <row r="1" spans="2:44" ht="60" customHeight="1"/>
    <row r="2" spans="2:44" ht="17.25" customHeight="1"/>
    <row r="3" spans="2:44" ht="28">
      <c r="B3" s="72" t="s">
        <v>150</v>
      </c>
      <c r="D3" s="73"/>
      <c r="F3" s="73"/>
      <c r="G3" s="923" t="s">
        <v>158</v>
      </c>
      <c r="H3" s="924"/>
      <c r="I3" s="924"/>
      <c r="J3" s="924"/>
      <c r="K3" s="924"/>
      <c r="L3" s="924"/>
      <c r="M3" s="924"/>
      <c r="N3" s="924"/>
      <c r="O3" s="924"/>
      <c r="P3" s="924"/>
    </row>
    <row r="4" spans="2:44" s="75" customFormat="1" ht="28">
      <c r="B4" s="495" t="s">
        <v>149</v>
      </c>
      <c r="C4" s="508" t="s">
        <v>151</v>
      </c>
      <c r="D4" s="508" t="s">
        <v>152</v>
      </c>
      <c r="E4" s="509" t="s">
        <v>57</v>
      </c>
      <c r="F4" s="509" t="s">
        <v>391</v>
      </c>
      <c r="G4" s="492" t="str">
        <f>IF('About My Ranch'!$D$6="X","Cow-Calf","")</f>
        <v>Cow-Calf</v>
      </c>
      <c r="H4" s="492" t="str">
        <f>IF('About My Ranch'!$D$7="X","Repl Hfr","")</f>
        <v/>
      </c>
      <c r="I4" s="492" t="str">
        <f>IF('About My Ranch'!$D$9="X","Bckgrdr","")</f>
        <v/>
      </c>
      <c r="J4" s="492" t="str">
        <f>IF('About My Ranch'!$D$10="X","Grasser","")</f>
        <v/>
      </c>
      <c r="K4" s="492" t="str">
        <f>IF('About My Ranch'!$D$11="x","Finisher","")</f>
        <v/>
      </c>
      <c r="L4" s="492" t="str">
        <f>IF('About My Ranch'!$D$12="X","Forage","")</f>
        <v/>
      </c>
      <c r="M4" s="492" t="str">
        <f>IF('About My Ranch'!$D$13="x","Grazing","")</f>
        <v/>
      </c>
      <c r="N4" s="492" t="str">
        <f>IF('About My Ranch'!$D$14="x","Grain","")</f>
        <v/>
      </c>
      <c r="O4" s="492" t="str">
        <f>IF('About My Ranch'!$D$15="x",'About My Ranch'!F11,"")</f>
        <v/>
      </c>
      <c r="P4" s="491" t="str">
        <f>IF('About My Ranch'!$D$8="X","Ranch-Raised Bull","")</f>
        <v/>
      </c>
      <c r="X4" s="102" t="str">
        <f>G4</f>
        <v>Cow-Calf</v>
      </c>
      <c r="Y4" s="102" t="str">
        <f t="shared" ref="Y4:AG4" si="0">H4</f>
        <v/>
      </c>
      <c r="Z4" s="102" t="str">
        <f t="shared" si="0"/>
        <v/>
      </c>
      <c r="AA4" s="102" t="str">
        <f t="shared" si="0"/>
        <v/>
      </c>
      <c r="AB4" s="102" t="str">
        <f t="shared" si="0"/>
        <v/>
      </c>
      <c r="AC4" s="102" t="str">
        <f t="shared" si="0"/>
        <v/>
      </c>
      <c r="AD4" s="102" t="str">
        <f t="shared" si="0"/>
        <v/>
      </c>
      <c r="AE4" s="102" t="str">
        <f t="shared" si="0"/>
        <v/>
      </c>
      <c r="AF4" s="102" t="str">
        <f t="shared" si="0"/>
        <v/>
      </c>
      <c r="AG4" s="617" t="str">
        <f t="shared" si="0"/>
        <v/>
      </c>
      <c r="AH4" s="95"/>
      <c r="AI4" s="612" t="str">
        <f>G4</f>
        <v>Cow-Calf</v>
      </c>
      <c r="AJ4" s="102" t="str">
        <f t="shared" ref="AJ4:AR4" si="1">H4</f>
        <v/>
      </c>
      <c r="AK4" s="102" t="str">
        <f t="shared" si="1"/>
        <v/>
      </c>
      <c r="AL4" s="102" t="str">
        <f t="shared" si="1"/>
        <v/>
      </c>
      <c r="AM4" s="102" t="str">
        <f t="shared" si="1"/>
        <v/>
      </c>
      <c r="AN4" s="102" t="str">
        <f t="shared" si="1"/>
        <v/>
      </c>
      <c r="AO4" s="102" t="str">
        <f t="shared" si="1"/>
        <v/>
      </c>
      <c r="AP4" s="102" t="str">
        <f t="shared" si="1"/>
        <v/>
      </c>
      <c r="AQ4" s="102" t="str">
        <f t="shared" si="1"/>
        <v/>
      </c>
      <c r="AR4" s="620" t="str">
        <f t="shared" si="1"/>
        <v/>
      </c>
    </row>
    <row r="5" spans="2:44" ht="22.5" customHeight="1">
      <c r="B5" s="177" t="s">
        <v>429</v>
      </c>
      <c r="C5" s="364"/>
      <c r="D5" s="364"/>
      <c r="E5" s="107">
        <f>C5*D5</f>
        <v>0</v>
      </c>
      <c r="F5" s="519">
        <f>SUM(G5:P5)</f>
        <v>100</v>
      </c>
      <c r="G5" s="178">
        <v>100</v>
      </c>
      <c r="H5" s="178"/>
      <c r="I5" s="178"/>
      <c r="J5" s="178"/>
      <c r="K5" s="178"/>
      <c r="L5" s="178"/>
      <c r="M5" s="178"/>
      <c r="N5" s="178"/>
      <c r="O5" s="417"/>
      <c r="P5" s="417"/>
      <c r="X5" s="70">
        <f>G5/$F5</f>
        <v>1</v>
      </c>
      <c r="Y5" s="70">
        <f t="shared" ref="Y5:AG7" si="2">H5/$F5</f>
        <v>0</v>
      </c>
      <c r="Z5" s="70">
        <f t="shared" si="2"/>
        <v>0</v>
      </c>
      <c r="AA5" s="70">
        <f t="shared" si="2"/>
        <v>0</v>
      </c>
      <c r="AB5" s="70">
        <f t="shared" si="2"/>
        <v>0</v>
      </c>
      <c r="AC5" s="70">
        <f t="shared" si="2"/>
        <v>0</v>
      </c>
      <c r="AD5" s="70">
        <f t="shared" si="2"/>
        <v>0</v>
      </c>
      <c r="AE5" s="70">
        <f t="shared" si="2"/>
        <v>0</v>
      </c>
      <c r="AF5" s="70">
        <f t="shared" si="2"/>
        <v>0</v>
      </c>
      <c r="AG5" s="611">
        <f t="shared" si="2"/>
        <v>0</v>
      </c>
      <c r="AH5" s="88"/>
      <c r="AI5" s="613">
        <f>X5*$E5</f>
        <v>0</v>
      </c>
      <c r="AJ5" s="92">
        <f t="shared" ref="AJ5:AR7" si="3">Y5*$E5</f>
        <v>0</v>
      </c>
      <c r="AK5" s="92">
        <f t="shared" si="3"/>
        <v>0</v>
      </c>
      <c r="AL5" s="92">
        <f t="shared" si="3"/>
        <v>0</v>
      </c>
      <c r="AM5" s="92">
        <f t="shared" si="3"/>
        <v>0</v>
      </c>
      <c r="AN5" s="92">
        <f t="shared" si="3"/>
        <v>0</v>
      </c>
      <c r="AO5" s="92">
        <f t="shared" si="3"/>
        <v>0</v>
      </c>
      <c r="AP5" s="92">
        <f t="shared" si="3"/>
        <v>0</v>
      </c>
      <c r="AQ5" s="92">
        <f t="shared" si="3"/>
        <v>0</v>
      </c>
      <c r="AR5" s="92">
        <f t="shared" si="3"/>
        <v>0</v>
      </c>
    </row>
    <row r="6" spans="2:44" ht="22.5" customHeight="1">
      <c r="B6" s="177" t="s">
        <v>430</v>
      </c>
      <c r="C6" s="177"/>
      <c r="D6" s="364"/>
      <c r="E6" s="107">
        <f>C6*D6</f>
        <v>0</v>
      </c>
      <c r="F6" s="519">
        <f>SUM(G6:P6)</f>
        <v>100</v>
      </c>
      <c r="G6" s="178">
        <v>100</v>
      </c>
      <c r="H6" s="178"/>
      <c r="I6" s="178"/>
      <c r="J6" s="178"/>
      <c r="K6" s="178"/>
      <c r="L6" s="178"/>
      <c r="M6" s="178"/>
      <c r="N6" s="178"/>
      <c r="O6" s="417"/>
      <c r="P6" s="417"/>
      <c r="X6" s="70">
        <f>G6/$F6</f>
        <v>1</v>
      </c>
      <c r="Y6" s="70">
        <f t="shared" si="2"/>
        <v>0</v>
      </c>
      <c r="Z6" s="70">
        <f t="shared" si="2"/>
        <v>0</v>
      </c>
      <c r="AA6" s="70">
        <f t="shared" si="2"/>
        <v>0</v>
      </c>
      <c r="AB6" s="70">
        <f t="shared" si="2"/>
        <v>0</v>
      </c>
      <c r="AC6" s="70">
        <f t="shared" si="2"/>
        <v>0</v>
      </c>
      <c r="AD6" s="70">
        <f t="shared" si="2"/>
        <v>0</v>
      </c>
      <c r="AE6" s="70">
        <f t="shared" si="2"/>
        <v>0</v>
      </c>
      <c r="AF6" s="70">
        <f t="shared" si="2"/>
        <v>0</v>
      </c>
      <c r="AG6" s="611">
        <f t="shared" si="2"/>
        <v>0</v>
      </c>
      <c r="AH6" s="88"/>
      <c r="AI6" s="613">
        <f>X6*$E6</f>
        <v>0</v>
      </c>
      <c r="AJ6" s="92">
        <f t="shared" si="3"/>
        <v>0</v>
      </c>
      <c r="AK6" s="92">
        <f t="shared" si="3"/>
        <v>0</v>
      </c>
      <c r="AL6" s="92">
        <f t="shared" si="3"/>
        <v>0</v>
      </c>
      <c r="AM6" s="92">
        <f t="shared" si="3"/>
        <v>0</v>
      </c>
      <c r="AN6" s="92">
        <f t="shared" si="3"/>
        <v>0</v>
      </c>
      <c r="AO6" s="92">
        <f t="shared" si="3"/>
        <v>0</v>
      </c>
      <c r="AP6" s="92">
        <f t="shared" si="3"/>
        <v>0</v>
      </c>
      <c r="AQ6" s="92">
        <f t="shared" si="3"/>
        <v>0</v>
      </c>
      <c r="AR6" s="92">
        <f t="shared" si="3"/>
        <v>0</v>
      </c>
    </row>
    <row r="7" spans="2:44" ht="22.5" customHeight="1">
      <c r="B7" s="177"/>
      <c r="C7" s="177"/>
      <c r="D7" s="364"/>
      <c r="E7" s="107">
        <f>C7*D7</f>
        <v>0</v>
      </c>
      <c r="F7" s="519">
        <f>SUM(G7:P7)</f>
        <v>100</v>
      </c>
      <c r="G7" s="355">
        <v>100</v>
      </c>
      <c r="H7" s="355"/>
      <c r="I7" s="355"/>
      <c r="J7" s="355"/>
      <c r="K7" s="355"/>
      <c r="L7" s="355"/>
      <c r="M7" s="355"/>
      <c r="N7" s="355"/>
      <c r="O7" s="417"/>
      <c r="P7" s="417"/>
      <c r="X7" s="70">
        <f>G7/$F7</f>
        <v>1</v>
      </c>
      <c r="Y7" s="70">
        <f t="shared" si="2"/>
        <v>0</v>
      </c>
      <c r="Z7" s="70">
        <f t="shared" si="2"/>
        <v>0</v>
      </c>
      <c r="AA7" s="70">
        <f t="shared" si="2"/>
        <v>0</v>
      </c>
      <c r="AB7" s="70">
        <f t="shared" si="2"/>
        <v>0</v>
      </c>
      <c r="AC7" s="70">
        <f t="shared" si="2"/>
        <v>0</v>
      </c>
      <c r="AD7" s="70">
        <f t="shared" si="2"/>
        <v>0</v>
      </c>
      <c r="AE7" s="70">
        <f t="shared" si="2"/>
        <v>0</v>
      </c>
      <c r="AF7" s="70">
        <f t="shared" si="2"/>
        <v>0</v>
      </c>
      <c r="AG7" s="611">
        <f t="shared" si="2"/>
        <v>0</v>
      </c>
      <c r="AH7" s="88"/>
      <c r="AI7" s="613">
        <f>X7*$E7</f>
        <v>0</v>
      </c>
      <c r="AJ7" s="92">
        <f t="shared" si="3"/>
        <v>0</v>
      </c>
      <c r="AK7" s="92">
        <f t="shared" si="3"/>
        <v>0</v>
      </c>
      <c r="AL7" s="92">
        <f t="shared" si="3"/>
        <v>0</v>
      </c>
      <c r="AM7" s="92">
        <f t="shared" si="3"/>
        <v>0</v>
      </c>
      <c r="AN7" s="92">
        <f t="shared" si="3"/>
        <v>0</v>
      </c>
      <c r="AO7" s="92">
        <f t="shared" si="3"/>
        <v>0</v>
      </c>
      <c r="AP7" s="92">
        <f t="shared" si="3"/>
        <v>0</v>
      </c>
      <c r="AQ7" s="92">
        <f t="shared" si="3"/>
        <v>0</v>
      </c>
      <c r="AR7" s="92">
        <f t="shared" si="3"/>
        <v>0</v>
      </c>
    </row>
    <row r="8" spans="2:44">
      <c r="B8" s="75" t="s">
        <v>60</v>
      </c>
      <c r="E8" s="76">
        <f>SUM(E5:E7)</f>
        <v>0</v>
      </c>
      <c r="G8" s="76">
        <f>AI8</f>
        <v>0</v>
      </c>
      <c r="H8" s="76">
        <f t="shared" ref="H8:P8" si="4">AJ8</f>
        <v>0</v>
      </c>
      <c r="I8" s="76">
        <f t="shared" si="4"/>
        <v>0</v>
      </c>
      <c r="J8" s="76">
        <f t="shared" si="4"/>
        <v>0</v>
      </c>
      <c r="K8" s="76">
        <f t="shared" si="4"/>
        <v>0</v>
      </c>
      <c r="L8" s="76">
        <f t="shared" si="4"/>
        <v>0</v>
      </c>
      <c r="M8" s="76">
        <f t="shared" si="4"/>
        <v>0</v>
      </c>
      <c r="N8" s="76">
        <f t="shared" si="4"/>
        <v>0</v>
      </c>
      <c r="O8" s="76">
        <f t="shared" si="4"/>
        <v>0</v>
      </c>
      <c r="P8" s="76">
        <f t="shared" si="4"/>
        <v>0</v>
      </c>
      <c r="AI8" s="518">
        <f>SUM(AI5:AI7)</f>
        <v>0</v>
      </c>
      <c r="AJ8" s="518">
        <f t="shared" ref="AJ8:AQ8" si="5">SUM(AJ5:AJ7)</f>
        <v>0</v>
      </c>
      <c r="AK8" s="518">
        <f t="shared" si="5"/>
        <v>0</v>
      </c>
      <c r="AL8" s="518">
        <f t="shared" si="5"/>
        <v>0</v>
      </c>
      <c r="AM8" s="518">
        <f t="shared" si="5"/>
        <v>0</v>
      </c>
      <c r="AN8" s="518">
        <f t="shared" si="5"/>
        <v>0</v>
      </c>
      <c r="AO8" s="518">
        <f t="shared" si="5"/>
        <v>0</v>
      </c>
      <c r="AP8" s="518">
        <f t="shared" si="5"/>
        <v>0</v>
      </c>
      <c r="AQ8" s="518">
        <f t="shared" si="5"/>
        <v>0</v>
      </c>
      <c r="AR8" s="518">
        <f>SUM(AR5:AR7)</f>
        <v>0</v>
      </c>
    </row>
  </sheetData>
  <sheetProtection sheet="1" objects="1" scenarios="1"/>
  <mergeCells count="1">
    <mergeCell ref="G3:P3"/>
  </mergeCells>
  <phoneticPr fontId="116" type="noConversion"/>
  <pageMargins left="0.7" right="0.7" top="0.75" bottom="0.75" header="0.3" footer="0.3"/>
  <headerFooter>
    <oddFooter>&amp;L&amp;A&amp;C&amp;D&amp;R&amp;P of &amp;N</oddFooter>
  </headerFooter>
  <drawing r:id="rId1"/>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AX86"/>
  <sheetViews>
    <sheetView showGridLines="0" showRowColHeaders="0" workbookViewId="0">
      <selection activeCell="B7" sqref="B7"/>
    </sheetView>
  </sheetViews>
  <sheetFormatPr baseColWidth="10" defaultColWidth="8.83203125" defaultRowHeight="14"/>
  <cols>
    <col min="1" max="1" width="3.5" style="64" customWidth="1"/>
    <col min="2" max="2" width="38.5" style="64" customWidth="1"/>
    <col min="3" max="3" width="11" style="64" customWidth="1"/>
    <col min="4" max="4" width="9.5" style="64" customWidth="1"/>
    <col min="5" max="5" width="13" style="71" customWidth="1"/>
    <col min="6" max="7" width="10" style="64" customWidth="1"/>
    <col min="8" max="15" width="8.83203125" style="64"/>
    <col min="16" max="16" width="10.1640625" style="64" customWidth="1"/>
    <col min="17" max="17" width="8.83203125" style="103"/>
    <col min="18" max="19" width="8.83203125" style="64"/>
    <col min="20" max="20" width="11.6640625" style="64" customWidth="1"/>
    <col min="21" max="37" width="8.83203125" style="64"/>
    <col min="38" max="38" width="8.83203125" style="68"/>
    <col min="39" max="48" width="8.83203125" style="64"/>
    <col min="49" max="49" width="13.6640625" style="64" customWidth="1"/>
    <col min="50" max="50" width="8.83203125" style="71"/>
    <col min="51" max="16384" width="8.83203125" style="64"/>
  </cols>
  <sheetData>
    <row r="1" spans="2:48" ht="73.5" customHeight="1">
      <c r="D1" s="71"/>
      <c r="F1" s="71"/>
      <c r="G1" s="71"/>
      <c r="P1" s="65"/>
    </row>
    <row r="2" spans="2:48" ht="95.25" customHeight="1">
      <c r="D2" s="71"/>
      <c r="F2" s="71"/>
      <c r="G2" s="71"/>
      <c r="P2" s="360"/>
    </row>
    <row r="3" spans="2:48" ht="63" customHeight="1">
      <c r="D3" s="71"/>
      <c r="F3" s="71"/>
      <c r="G3" s="71"/>
      <c r="P3" s="360"/>
    </row>
    <row r="4" spans="2:48" ht="55.5" customHeight="1">
      <c r="B4" s="63"/>
      <c r="D4" s="71"/>
      <c r="F4" s="71"/>
      <c r="G4" s="71"/>
      <c r="P4" s="360"/>
      <c r="AB4" s="502" t="s">
        <v>553</v>
      </c>
    </row>
    <row r="5" spans="2:48" ht="25.5" customHeight="1">
      <c r="B5" s="63"/>
      <c r="D5" s="71"/>
      <c r="F5" s="71"/>
      <c r="G5" s="922" t="s">
        <v>155</v>
      </c>
      <c r="H5" s="922"/>
      <c r="I5" s="922"/>
      <c r="J5" s="922"/>
      <c r="K5" s="922"/>
      <c r="L5" s="922"/>
      <c r="M5" s="922"/>
      <c r="N5" s="922"/>
      <c r="O5" s="922"/>
      <c r="P5" s="922"/>
      <c r="AB5" s="86" t="s">
        <v>552</v>
      </c>
    </row>
    <row r="6" spans="2:48" ht="33" customHeight="1">
      <c r="B6" s="498" t="s">
        <v>390</v>
      </c>
      <c r="C6" s="491" t="s">
        <v>156</v>
      </c>
      <c r="D6" s="492" t="s">
        <v>154</v>
      </c>
      <c r="E6" s="491" t="str">
        <f>'About My Ranch'!$F$19&amp;" $ Depreciation"</f>
        <v xml:space="preserve"> $ Depreciation</v>
      </c>
      <c r="F6" s="491" t="s">
        <v>391</v>
      </c>
      <c r="G6" s="492" t="str">
        <f>IF('About My Ranch'!$D$6="X","Cow-Calf","")</f>
        <v>Cow-Calf</v>
      </c>
      <c r="H6" s="492" t="str">
        <f>IF('About My Ranch'!$D$7="X","Repl Hfr","")</f>
        <v/>
      </c>
      <c r="I6" s="492" t="str">
        <f>IF('About My Ranch'!$D$9="X","Bckgrdr","")</f>
        <v/>
      </c>
      <c r="J6" s="492" t="str">
        <f>IF('About My Ranch'!$D$10="X","Grasser","")</f>
        <v/>
      </c>
      <c r="K6" s="492" t="str">
        <f>IF('About My Ranch'!$D$11="x","Finisher","")</f>
        <v/>
      </c>
      <c r="L6" s="492" t="str">
        <f>IF('About My Ranch'!$D$12="X","Forage","")</f>
        <v/>
      </c>
      <c r="M6" s="492" t="str">
        <f>IF('About My Ranch'!$D$13="x","Grazing","")</f>
        <v/>
      </c>
      <c r="N6" s="492" t="str">
        <f>IF('About My Ranch'!$D$14="x","Grain","")</f>
        <v/>
      </c>
      <c r="O6" s="492" t="str">
        <f>IF('About My Ranch'!$D$15="x",'About My Ranch'!F15,"")</f>
        <v/>
      </c>
      <c r="P6" s="627" t="str">
        <f>IF('About My Ranch'!$D$8="X","Ranch-Raised Bull","")</f>
        <v/>
      </c>
      <c r="AB6" s="66" t="str">
        <f>G6</f>
        <v>Cow-Calf</v>
      </c>
      <c r="AC6" s="66" t="str">
        <f t="shared" ref="AC6:AK6" si="0">H6</f>
        <v/>
      </c>
      <c r="AD6" s="66" t="str">
        <f t="shared" si="0"/>
        <v/>
      </c>
      <c r="AE6" s="66" t="str">
        <f t="shared" si="0"/>
        <v/>
      </c>
      <c r="AF6" s="66" t="str">
        <f t="shared" si="0"/>
        <v/>
      </c>
      <c r="AG6" s="66" t="str">
        <f t="shared" si="0"/>
        <v/>
      </c>
      <c r="AH6" s="66" t="str">
        <f t="shared" si="0"/>
        <v/>
      </c>
      <c r="AI6" s="66" t="str">
        <f t="shared" si="0"/>
        <v/>
      </c>
      <c r="AJ6" s="66" t="str">
        <f t="shared" si="0"/>
        <v/>
      </c>
      <c r="AK6" s="506" t="str">
        <f t="shared" si="0"/>
        <v/>
      </c>
      <c r="AL6" s="95"/>
      <c r="AM6" s="66" t="str">
        <f>G6</f>
        <v>Cow-Calf</v>
      </c>
      <c r="AN6" s="66" t="str">
        <f t="shared" ref="AN6:AT6" si="1">H6</f>
        <v/>
      </c>
      <c r="AO6" s="66" t="str">
        <f t="shared" si="1"/>
        <v/>
      </c>
      <c r="AP6" s="66" t="str">
        <f t="shared" si="1"/>
        <v/>
      </c>
      <c r="AQ6" s="66" t="str">
        <f t="shared" si="1"/>
        <v/>
      </c>
      <c r="AR6" s="66" t="str">
        <f t="shared" si="1"/>
        <v/>
      </c>
      <c r="AS6" s="66" t="str">
        <f t="shared" si="1"/>
        <v/>
      </c>
      <c r="AT6" s="66" t="str">
        <f t="shared" si="1"/>
        <v/>
      </c>
      <c r="AU6" s="66" t="str">
        <f>O6</f>
        <v/>
      </c>
      <c r="AV6" s="506" t="str">
        <f>P6</f>
        <v/>
      </c>
    </row>
    <row r="7" spans="2:48" ht="19.5" customHeight="1">
      <c r="B7" s="176"/>
      <c r="C7" s="185"/>
      <c r="D7" s="179">
        <v>8</v>
      </c>
      <c r="E7" s="493">
        <f>C7*D7/100</f>
        <v>0</v>
      </c>
      <c r="F7" s="494">
        <f>SUM(G7:P7)</f>
        <v>0</v>
      </c>
      <c r="G7" s="179"/>
      <c r="H7" s="179"/>
      <c r="I7" s="179"/>
      <c r="J7" s="179"/>
      <c r="K7" s="179"/>
      <c r="L7" s="179"/>
      <c r="M7" s="179"/>
      <c r="N7" s="179"/>
      <c r="O7" s="176"/>
      <c r="P7" s="176"/>
      <c r="AB7" s="503" t="e">
        <f t="shared" ref="AB7:AB24" si="2">G7/$F7</f>
        <v>#DIV/0!</v>
      </c>
      <c r="AC7" s="503" t="e">
        <f t="shared" ref="AC7:AC24" si="3">H7/$F7</f>
        <v>#DIV/0!</v>
      </c>
      <c r="AD7" s="503" t="e">
        <f t="shared" ref="AD7:AD24" si="4">I7/$F7</f>
        <v>#DIV/0!</v>
      </c>
      <c r="AE7" s="503" t="e">
        <f t="shared" ref="AE7:AE24" si="5">J7/$F7</f>
        <v>#DIV/0!</v>
      </c>
      <c r="AF7" s="503" t="e">
        <f t="shared" ref="AF7:AF24" si="6">K7/$F7</f>
        <v>#DIV/0!</v>
      </c>
      <c r="AG7" s="503" t="e">
        <f t="shared" ref="AG7:AG24" si="7">L7/$F7</f>
        <v>#DIV/0!</v>
      </c>
      <c r="AH7" s="503" t="e">
        <f t="shared" ref="AH7:AH24" si="8">M7/$F7</f>
        <v>#DIV/0!</v>
      </c>
      <c r="AI7" s="503" t="e">
        <f t="shared" ref="AI7:AI24" si="9">N7/$F7</f>
        <v>#DIV/0!</v>
      </c>
      <c r="AJ7" s="503" t="e">
        <f t="shared" ref="AJ7:AJ24" si="10">O7/$F7</f>
        <v>#DIV/0!</v>
      </c>
      <c r="AK7" s="503" t="e">
        <f t="shared" ref="AK7:AK24" si="11">P7/$F7</f>
        <v>#DIV/0!</v>
      </c>
      <c r="AM7" s="92" t="e">
        <f>AB7*$E7</f>
        <v>#DIV/0!</v>
      </c>
      <c r="AN7" s="92" t="e">
        <f t="shared" ref="AN7:AV7" si="12">AC7*$E7</f>
        <v>#DIV/0!</v>
      </c>
      <c r="AO7" s="92" t="e">
        <f t="shared" si="12"/>
        <v>#DIV/0!</v>
      </c>
      <c r="AP7" s="92" t="e">
        <f t="shared" si="12"/>
        <v>#DIV/0!</v>
      </c>
      <c r="AQ7" s="92" t="e">
        <f t="shared" si="12"/>
        <v>#DIV/0!</v>
      </c>
      <c r="AR7" s="92" t="e">
        <f t="shared" si="12"/>
        <v>#DIV/0!</v>
      </c>
      <c r="AS7" s="92" t="e">
        <f t="shared" si="12"/>
        <v>#DIV/0!</v>
      </c>
      <c r="AT7" s="92" t="e">
        <f t="shared" si="12"/>
        <v>#DIV/0!</v>
      </c>
      <c r="AU7" s="92" t="e">
        <f t="shared" si="12"/>
        <v>#DIV/0!</v>
      </c>
      <c r="AV7" s="92" t="e">
        <f t="shared" si="12"/>
        <v>#DIV/0!</v>
      </c>
    </row>
    <row r="8" spans="2:48" ht="19.5" customHeight="1">
      <c r="B8" s="176"/>
      <c r="C8" s="185"/>
      <c r="D8" s="179">
        <v>8</v>
      </c>
      <c r="E8" s="493">
        <f t="shared" ref="E8:E25" si="13">C8*D8/100</f>
        <v>0</v>
      </c>
      <c r="F8" s="494">
        <f t="shared" ref="F8:F25" si="14">SUM(G8:P8)</f>
        <v>0</v>
      </c>
      <c r="G8" s="179"/>
      <c r="H8" s="179"/>
      <c r="I8" s="179"/>
      <c r="J8" s="179"/>
      <c r="K8" s="179"/>
      <c r="L8" s="179"/>
      <c r="M8" s="179"/>
      <c r="N8" s="179"/>
      <c r="O8" s="176"/>
      <c r="P8" s="176"/>
      <c r="AB8" s="503" t="e">
        <f t="shared" si="2"/>
        <v>#DIV/0!</v>
      </c>
      <c r="AC8" s="503" t="e">
        <f t="shared" si="3"/>
        <v>#DIV/0!</v>
      </c>
      <c r="AD8" s="503" t="e">
        <f t="shared" si="4"/>
        <v>#DIV/0!</v>
      </c>
      <c r="AE8" s="503" t="e">
        <f t="shared" si="5"/>
        <v>#DIV/0!</v>
      </c>
      <c r="AF8" s="503" t="e">
        <f t="shared" si="6"/>
        <v>#DIV/0!</v>
      </c>
      <c r="AG8" s="503" t="e">
        <f t="shared" si="7"/>
        <v>#DIV/0!</v>
      </c>
      <c r="AH8" s="503" t="e">
        <f t="shared" si="8"/>
        <v>#DIV/0!</v>
      </c>
      <c r="AI8" s="503" t="e">
        <f t="shared" si="9"/>
        <v>#DIV/0!</v>
      </c>
      <c r="AJ8" s="503" t="e">
        <f t="shared" si="10"/>
        <v>#DIV/0!</v>
      </c>
      <c r="AK8" s="503" t="e">
        <f t="shared" si="11"/>
        <v>#DIV/0!</v>
      </c>
      <c r="AM8" s="92" t="e">
        <f t="shared" ref="AM8:AM25" si="15">AB8*$E8</f>
        <v>#DIV/0!</v>
      </c>
      <c r="AN8" s="92" t="e">
        <f t="shared" ref="AN8:AN25" si="16">AC8*$E8</f>
        <v>#DIV/0!</v>
      </c>
      <c r="AO8" s="92" t="e">
        <f t="shared" ref="AO8:AO25" si="17">AD8*$E8</f>
        <v>#DIV/0!</v>
      </c>
      <c r="AP8" s="92" t="e">
        <f t="shared" ref="AP8:AP25" si="18">AE8*$E8</f>
        <v>#DIV/0!</v>
      </c>
      <c r="AQ8" s="92" t="e">
        <f t="shared" ref="AQ8:AQ25" si="19">AF8*$E8</f>
        <v>#DIV/0!</v>
      </c>
      <c r="AR8" s="92" t="e">
        <f t="shared" ref="AR8:AR25" si="20">AG8*$E8</f>
        <v>#DIV/0!</v>
      </c>
      <c r="AS8" s="92" t="e">
        <f t="shared" ref="AS8:AS25" si="21">AH8*$E8</f>
        <v>#DIV/0!</v>
      </c>
      <c r="AT8" s="92" t="e">
        <f t="shared" ref="AT8:AT25" si="22">AI8*$E8</f>
        <v>#DIV/0!</v>
      </c>
      <c r="AU8" s="92" t="e">
        <f t="shared" ref="AU8:AV25" si="23">AJ8*$E8</f>
        <v>#DIV/0!</v>
      </c>
      <c r="AV8" s="92" t="e">
        <f t="shared" si="23"/>
        <v>#DIV/0!</v>
      </c>
    </row>
    <row r="9" spans="2:48" ht="19.5" customHeight="1">
      <c r="B9" s="176"/>
      <c r="C9" s="185"/>
      <c r="D9" s="179">
        <v>8</v>
      </c>
      <c r="E9" s="493">
        <f t="shared" si="13"/>
        <v>0</v>
      </c>
      <c r="F9" s="494">
        <f t="shared" si="14"/>
        <v>0</v>
      </c>
      <c r="G9" s="179"/>
      <c r="H9" s="179"/>
      <c r="I9" s="179"/>
      <c r="J9" s="179"/>
      <c r="K9" s="179"/>
      <c r="L9" s="179"/>
      <c r="M9" s="179"/>
      <c r="N9" s="179"/>
      <c r="O9" s="176"/>
      <c r="P9" s="176"/>
      <c r="AB9" s="503" t="e">
        <f t="shared" si="2"/>
        <v>#DIV/0!</v>
      </c>
      <c r="AC9" s="503" t="e">
        <f t="shared" si="3"/>
        <v>#DIV/0!</v>
      </c>
      <c r="AD9" s="503" t="e">
        <f t="shared" si="4"/>
        <v>#DIV/0!</v>
      </c>
      <c r="AE9" s="503" t="e">
        <f t="shared" si="5"/>
        <v>#DIV/0!</v>
      </c>
      <c r="AF9" s="503" t="e">
        <f t="shared" si="6"/>
        <v>#DIV/0!</v>
      </c>
      <c r="AG9" s="503" t="e">
        <f t="shared" si="7"/>
        <v>#DIV/0!</v>
      </c>
      <c r="AH9" s="503" t="e">
        <f t="shared" si="8"/>
        <v>#DIV/0!</v>
      </c>
      <c r="AI9" s="503" t="e">
        <f t="shared" si="9"/>
        <v>#DIV/0!</v>
      </c>
      <c r="AJ9" s="503" t="e">
        <f t="shared" si="10"/>
        <v>#DIV/0!</v>
      </c>
      <c r="AK9" s="503" t="e">
        <f t="shared" si="11"/>
        <v>#DIV/0!</v>
      </c>
      <c r="AM9" s="92" t="e">
        <f t="shared" si="15"/>
        <v>#DIV/0!</v>
      </c>
      <c r="AN9" s="92" t="e">
        <f t="shared" si="16"/>
        <v>#DIV/0!</v>
      </c>
      <c r="AO9" s="92" t="e">
        <f t="shared" si="17"/>
        <v>#DIV/0!</v>
      </c>
      <c r="AP9" s="92" t="e">
        <f t="shared" si="18"/>
        <v>#DIV/0!</v>
      </c>
      <c r="AQ9" s="92" t="e">
        <f t="shared" si="19"/>
        <v>#DIV/0!</v>
      </c>
      <c r="AR9" s="92" t="e">
        <f t="shared" si="20"/>
        <v>#DIV/0!</v>
      </c>
      <c r="AS9" s="92" t="e">
        <f t="shared" si="21"/>
        <v>#DIV/0!</v>
      </c>
      <c r="AT9" s="92" t="e">
        <f t="shared" si="22"/>
        <v>#DIV/0!</v>
      </c>
      <c r="AU9" s="92" t="e">
        <f t="shared" si="23"/>
        <v>#DIV/0!</v>
      </c>
      <c r="AV9" s="92" t="e">
        <f t="shared" si="23"/>
        <v>#DIV/0!</v>
      </c>
    </row>
    <row r="10" spans="2:48" ht="19.5" customHeight="1">
      <c r="B10" s="176"/>
      <c r="C10" s="185"/>
      <c r="D10" s="179">
        <v>8</v>
      </c>
      <c r="E10" s="493">
        <f>C10*D10/100</f>
        <v>0</v>
      </c>
      <c r="F10" s="494">
        <f t="shared" si="14"/>
        <v>0</v>
      </c>
      <c r="G10" s="179"/>
      <c r="H10" s="179"/>
      <c r="I10" s="179"/>
      <c r="J10" s="179"/>
      <c r="K10" s="179"/>
      <c r="L10" s="179"/>
      <c r="M10" s="179"/>
      <c r="N10" s="179"/>
      <c r="O10" s="176"/>
      <c r="P10" s="176"/>
      <c r="AB10" s="503" t="e">
        <f t="shared" si="2"/>
        <v>#DIV/0!</v>
      </c>
      <c r="AC10" s="503" t="e">
        <f t="shared" si="3"/>
        <v>#DIV/0!</v>
      </c>
      <c r="AD10" s="503" t="e">
        <f t="shared" si="4"/>
        <v>#DIV/0!</v>
      </c>
      <c r="AE10" s="503" t="e">
        <f t="shared" si="5"/>
        <v>#DIV/0!</v>
      </c>
      <c r="AF10" s="503" t="e">
        <f t="shared" si="6"/>
        <v>#DIV/0!</v>
      </c>
      <c r="AG10" s="503" t="e">
        <f t="shared" si="7"/>
        <v>#DIV/0!</v>
      </c>
      <c r="AH10" s="503" t="e">
        <f t="shared" si="8"/>
        <v>#DIV/0!</v>
      </c>
      <c r="AI10" s="503" t="e">
        <f t="shared" si="9"/>
        <v>#DIV/0!</v>
      </c>
      <c r="AJ10" s="503" t="e">
        <f t="shared" si="10"/>
        <v>#DIV/0!</v>
      </c>
      <c r="AK10" s="503" t="e">
        <f t="shared" si="11"/>
        <v>#DIV/0!</v>
      </c>
      <c r="AM10" s="92" t="e">
        <f t="shared" si="15"/>
        <v>#DIV/0!</v>
      </c>
      <c r="AN10" s="92" t="e">
        <f t="shared" si="16"/>
        <v>#DIV/0!</v>
      </c>
      <c r="AO10" s="92" t="e">
        <f t="shared" si="17"/>
        <v>#DIV/0!</v>
      </c>
      <c r="AP10" s="92" t="e">
        <f t="shared" si="18"/>
        <v>#DIV/0!</v>
      </c>
      <c r="AQ10" s="92" t="e">
        <f t="shared" si="19"/>
        <v>#DIV/0!</v>
      </c>
      <c r="AR10" s="92" t="e">
        <f t="shared" si="20"/>
        <v>#DIV/0!</v>
      </c>
      <c r="AS10" s="92" t="e">
        <f t="shared" si="21"/>
        <v>#DIV/0!</v>
      </c>
      <c r="AT10" s="92" t="e">
        <f t="shared" si="22"/>
        <v>#DIV/0!</v>
      </c>
      <c r="AU10" s="92" t="e">
        <f t="shared" si="23"/>
        <v>#DIV/0!</v>
      </c>
      <c r="AV10" s="92" t="e">
        <f t="shared" si="23"/>
        <v>#DIV/0!</v>
      </c>
    </row>
    <row r="11" spans="2:48" ht="19.5" customHeight="1">
      <c r="B11" s="176"/>
      <c r="C11" s="185"/>
      <c r="D11" s="179">
        <v>8</v>
      </c>
      <c r="E11" s="493">
        <f>C11*D11/100</f>
        <v>0</v>
      </c>
      <c r="F11" s="494">
        <f t="shared" si="14"/>
        <v>0</v>
      </c>
      <c r="G11" s="179"/>
      <c r="H11" s="179"/>
      <c r="I11" s="179"/>
      <c r="J11" s="179"/>
      <c r="K11" s="179"/>
      <c r="L11" s="179"/>
      <c r="M11" s="179"/>
      <c r="N11" s="179"/>
      <c r="O11" s="176"/>
      <c r="P11" s="176"/>
      <c r="AB11" s="503" t="e">
        <f t="shared" si="2"/>
        <v>#DIV/0!</v>
      </c>
      <c r="AC11" s="503" t="e">
        <f t="shared" si="3"/>
        <v>#DIV/0!</v>
      </c>
      <c r="AD11" s="503" t="e">
        <f t="shared" si="4"/>
        <v>#DIV/0!</v>
      </c>
      <c r="AE11" s="503" t="e">
        <f t="shared" si="5"/>
        <v>#DIV/0!</v>
      </c>
      <c r="AF11" s="503" t="e">
        <f t="shared" si="6"/>
        <v>#DIV/0!</v>
      </c>
      <c r="AG11" s="503" t="e">
        <f t="shared" si="7"/>
        <v>#DIV/0!</v>
      </c>
      <c r="AH11" s="503" t="e">
        <f t="shared" si="8"/>
        <v>#DIV/0!</v>
      </c>
      <c r="AI11" s="503" t="e">
        <f t="shared" si="9"/>
        <v>#DIV/0!</v>
      </c>
      <c r="AJ11" s="503" t="e">
        <f t="shared" si="10"/>
        <v>#DIV/0!</v>
      </c>
      <c r="AK11" s="503" t="e">
        <f t="shared" si="11"/>
        <v>#DIV/0!</v>
      </c>
      <c r="AM11" s="92" t="e">
        <f t="shared" si="15"/>
        <v>#DIV/0!</v>
      </c>
      <c r="AN11" s="92" t="e">
        <f t="shared" si="16"/>
        <v>#DIV/0!</v>
      </c>
      <c r="AO11" s="92" t="e">
        <f t="shared" si="17"/>
        <v>#DIV/0!</v>
      </c>
      <c r="AP11" s="92" t="e">
        <f t="shared" si="18"/>
        <v>#DIV/0!</v>
      </c>
      <c r="AQ11" s="92" t="e">
        <f t="shared" si="19"/>
        <v>#DIV/0!</v>
      </c>
      <c r="AR11" s="92" t="e">
        <f t="shared" si="20"/>
        <v>#DIV/0!</v>
      </c>
      <c r="AS11" s="92" t="e">
        <f t="shared" si="21"/>
        <v>#DIV/0!</v>
      </c>
      <c r="AT11" s="92" t="e">
        <f t="shared" si="22"/>
        <v>#DIV/0!</v>
      </c>
      <c r="AU11" s="92" t="e">
        <f t="shared" si="23"/>
        <v>#DIV/0!</v>
      </c>
      <c r="AV11" s="92" t="e">
        <f t="shared" si="23"/>
        <v>#DIV/0!</v>
      </c>
    </row>
    <row r="12" spans="2:48" ht="19.5" customHeight="1">
      <c r="B12" s="176"/>
      <c r="C12" s="185"/>
      <c r="D12" s="179">
        <v>8</v>
      </c>
      <c r="E12" s="493">
        <f>C12*D12/100</f>
        <v>0</v>
      </c>
      <c r="F12" s="494">
        <f t="shared" si="14"/>
        <v>0</v>
      </c>
      <c r="G12" s="179"/>
      <c r="H12" s="179"/>
      <c r="I12" s="179"/>
      <c r="J12" s="179"/>
      <c r="K12" s="179"/>
      <c r="L12" s="179"/>
      <c r="M12" s="179"/>
      <c r="N12" s="179"/>
      <c r="O12" s="176"/>
      <c r="P12" s="176"/>
      <c r="AB12" s="503" t="e">
        <f t="shared" si="2"/>
        <v>#DIV/0!</v>
      </c>
      <c r="AC12" s="503" t="e">
        <f t="shared" si="3"/>
        <v>#DIV/0!</v>
      </c>
      <c r="AD12" s="503" t="e">
        <f t="shared" si="4"/>
        <v>#DIV/0!</v>
      </c>
      <c r="AE12" s="503" t="e">
        <f t="shared" si="5"/>
        <v>#DIV/0!</v>
      </c>
      <c r="AF12" s="503" t="e">
        <f t="shared" si="6"/>
        <v>#DIV/0!</v>
      </c>
      <c r="AG12" s="503" t="e">
        <f t="shared" si="7"/>
        <v>#DIV/0!</v>
      </c>
      <c r="AH12" s="503" t="e">
        <f t="shared" si="8"/>
        <v>#DIV/0!</v>
      </c>
      <c r="AI12" s="503" t="e">
        <f t="shared" si="9"/>
        <v>#DIV/0!</v>
      </c>
      <c r="AJ12" s="503" t="e">
        <f t="shared" si="10"/>
        <v>#DIV/0!</v>
      </c>
      <c r="AK12" s="503" t="e">
        <f t="shared" si="11"/>
        <v>#DIV/0!</v>
      </c>
      <c r="AM12" s="92" t="e">
        <f t="shared" si="15"/>
        <v>#DIV/0!</v>
      </c>
      <c r="AN12" s="92" t="e">
        <f t="shared" si="16"/>
        <v>#DIV/0!</v>
      </c>
      <c r="AO12" s="92" t="e">
        <f t="shared" si="17"/>
        <v>#DIV/0!</v>
      </c>
      <c r="AP12" s="92" t="e">
        <f t="shared" si="18"/>
        <v>#DIV/0!</v>
      </c>
      <c r="AQ12" s="92" t="e">
        <f t="shared" si="19"/>
        <v>#DIV/0!</v>
      </c>
      <c r="AR12" s="92" t="e">
        <f t="shared" si="20"/>
        <v>#DIV/0!</v>
      </c>
      <c r="AS12" s="92" t="e">
        <f t="shared" si="21"/>
        <v>#DIV/0!</v>
      </c>
      <c r="AT12" s="92" t="e">
        <f t="shared" si="22"/>
        <v>#DIV/0!</v>
      </c>
      <c r="AU12" s="92" t="e">
        <f t="shared" si="23"/>
        <v>#DIV/0!</v>
      </c>
      <c r="AV12" s="92" t="e">
        <f t="shared" si="23"/>
        <v>#DIV/0!</v>
      </c>
    </row>
    <row r="13" spans="2:48" ht="19.5" customHeight="1">
      <c r="B13" s="176"/>
      <c r="C13" s="185"/>
      <c r="D13" s="179">
        <v>8</v>
      </c>
      <c r="E13" s="493">
        <f>C13*D13/100</f>
        <v>0</v>
      </c>
      <c r="F13" s="494">
        <f t="shared" si="14"/>
        <v>100</v>
      </c>
      <c r="G13" s="179">
        <v>100</v>
      </c>
      <c r="H13" s="179"/>
      <c r="I13" s="179"/>
      <c r="J13" s="179"/>
      <c r="K13" s="179"/>
      <c r="L13" s="179"/>
      <c r="M13" s="179"/>
      <c r="N13" s="179"/>
      <c r="O13" s="176"/>
      <c r="P13" s="176"/>
      <c r="AB13" s="503">
        <f t="shared" si="2"/>
        <v>1</v>
      </c>
      <c r="AC13" s="503">
        <f t="shared" si="3"/>
        <v>0</v>
      </c>
      <c r="AD13" s="503">
        <f t="shared" si="4"/>
        <v>0</v>
      </c>
      <c r="AE13" s="503">
        <f t="shared" si="5"/>
        <v>0</v>
      </c>
      <c r="AF13" s="503">
        <f t="shared" si="6"/>
        <v>0</v>
      </c>
      <c r="AG13" s="503">
        <f t="shared" si="7"/>
        <v>0</v>
      </c>
      <c r="AH13" s="503">
        <f t="shared" si="8"/>
        <v>0</v>
      </c>
      <c r="AI13" s="503">
        <f t="shared" si="9"/>
        <v>0</v>
      </c>
      <c r="AJ13" s="503">
        <f t="shared" si="10"/>
        <v>0</v>
      </c>
      <c r="AK13" s="503">
        <f t="shared" si="11"/>
        <v>0</v>
      </c>
      <c r="AM13" s="92">
        <f t="shared" si="15"/>
        <v>0</v>
      </c>
      <c r="AN13" s="92">
        <f t="shared" si="16"/>
        <v>0</v>
      </c>
      <c r="AO13" s="92">
        <f t="shared" si="17"/>
        <v>0</v>
      </c>
      <c r="AP13" s="92">
        <f t="shared" si="18"/>
        <v>0</v>
      </c>
      <c r="AQ13" s="92">
        <f t="shared" si="19"/>
        <v>0</v>
      </c>
      <c r="AR13" s="92">
        <f t="shared" si="20"/>
        <v>0</v>
      </c>
      <c r="AS13" s="92">
        <f t="shared" si="21"/>
        <v>0</v>
      </c>
      <c r="AT13" s="92">
        <f t="shared" si="22"/>
        <v>0</v>
      </c>
      <c r="AU13" s="92">
        <f t="shared" si="23"/>
        <v>0</v>
      </c>
      <c r="AV13" s="92">
        <f t="shared" si="23"/>
        <v>0</v>
      </c>
    </row>
    <row r="14" spans="2:48" ht="19.5" customHeight="1">
      <c r="B14" s="176"/>
      <c r="C14" s="185"/>
      <c r="D14" s="179">
        <v>8</v>
      </c>
      <c r="E14" s="493">
        <f>C14*D14/100</f>
        <v>0</v>
      </c>
      <c r="F14" s="494">
        <f t="shared" si="14"/>
        <v>100</v>
      </c>
      <c r="G14" s="179">
        <v>100</v>
      </c>
      <c r="H14" s="179"/>
      <c r="I14" s="179"/>
      <c r="J14" s="179"/>
      <c r="K14" s="179"/>
      <c r="L14" s="179"/>
      <c r="M14" s="179"/>
      <c r="N14" s="179"/>
      <c r="O14" s="176"/>
      <c r="P14" s="176"/>
      <c r="AB14" s="503">
        <f t="shared" si="2"/>
        <v>1</v>
      </c>
      <c r="AC14" s="503">
        <f t="shared" si="3"/>
        <v>0</v>
      </c>
      <c r="AD14" s="503">
        <f t="shared" si="4"/>
        <v>0</v>
      </c>
      <c r="AE14" s="503">
        <f t="shared" si="5"/>
        <v>0</v>
      </c>
      <c r="AF14" s="503">
        <f t="shared" si="6"/>
        <v>0</v>
      </c>
      <c r="AG14" s="503">
        <f t="shared" si="7"/>
        <v>0</v>
      </c>
      <c r="AH14" s="503">
        <f t="shared" si="8"/>
        <v>0</v>
      </c>
      <c r="AI14" s="503">
        <f t="shared" si="9"/>
        <v>0</v>
      </c>
      <c r="AJ14" s="503">
        <f t="shared" si="10"/>
        <v>0</v>
      </c>
      <c r="AK14" s="503">
        <f t="shared" si="11"/>
        <v>0</v>
      </c>
      <c r="AM14" s="92">
        <f t="shared" si="15"/>
        <v>0</v>
      </c>
      <c r="AN14" s="92">
        <f t="shared" si="16"/>
        <v>0</v>
      </c>
      <c r="AO14" s="92">
        <f t="shared" si="17"/>
        <v>0</v>
      </c>
      <c r="AP14" s="92">
        <f t="shared" si="18"/>
        <v>0</v>
      </c>
      <c r="AQ14" s="92">
        <f t="shared" si="19"/>
        <v>0</v>
      </c>
      <c r="AR14" s="92">
        <f t="shared" si="20"/>
        <v>0</v>
      </c>
      <c r="AS14" s="92">
        <f t="shared" si="21"/>
        <v>0</v>
      </c>
      <c r="AT14" s="92">
        <f t="shared" si="22"/>
        <v>0</v>
      </c>
      <c r="AU14" s="92">
        <f t="shared" si="23"/>
        <v>0</v>
      </c>
      <c r="AV14" s="92">
        <f t="shared" si="23"/>
        <v>0</v>
      </c>
    </row>
    <row r="15" spans="2:48" ht="19.5" customHeight="1">
      <c r="B15" s="176"/>
      <c r="C15" s="185"/>
      <c r="D15" s="179">
        <v>8</v>
      </c>
      <c r="E15" s="493">
        <f t="shared" si="13"/>
        <v>0</v>
      </c>
      <c r="F15" s="494">
        <f t="shared" si="14"/>
        <v>100</v>
      </c>
      <c r="G15" s="179">
        <v>100</v>
      </c>
      <c r="H15" s="179"/>
      <c r="I15" s="179"/>
      <c r="J15" s="179"/>
      <c r="K15" s="179"/>
      <c r="L15" s="179"/>
      <c r="M15" s="179"/>
      <c r="N15" s="179"/>
      <c r="O15" s="176"/>
      <c r="P15" s="176"/>
      <c r="AB15" s="503">
        <f t="shared" si="2"/>
        <v>1</v>
      </c>
      <c r="AC15" s="503">
        <f t="shared" si="3"/>
        <v>0</v>
      </c>
      <c r="AD15" s="503">
        <f t="shared" si="4"/>
        <v>0</v>
      </c>
      <c r="AE15" s="503">
        <f t="shared" si="5"/>
        <v>0</v>
      </c>
      <c r="AF15" s="503">
        <f t="shared" si="6"/>
        <v>0</v>
      </c>
      <c r="AG15" s="503">
        <f t="shared" si="7"/>
        <v>0</v>
      </c>
      <c r="AH15" s="503">
        <f t="shared" si="8"/>
        <v>0</v>
      </c>
      <c r="AI15" s="503">
        <f t="shared" si="9"/>
        <v>0</v>
      </c>
      <c r="AJ15" s="503">
        <f t="shared" si="10"/>
        <v>0</v>
      </c>
      <c r="AK15" s="503">
        <f t="shared" si="11"/>
        <v>0</v>
      </c>
      <c r="AM15" s="92">
        <f t="shared" si="15"/>
        <v>0</v>
      </c>
      <c r="AN15" s="92">
        <f t="shared" si="16"/>
        <v>0</v>
      </c>
      <c r="AO15" s="92">
        <f t="shared" si="17"/>
        <v>0</v>
      </c>
      <c r="AP15" s="92">
        <f t="shared" si="18"/>
        <v>0</v>
      </c>
      <c r="AQ15" s="92">
        <f t="shared" si="19"/>
        <v>0</v>
      </c>
      <c r="AR15" s="92">
        <f t="shared" si="20"/>
        <v>0</v>
      </c>
      <c r="AS15" s="92">
        <f t="shared" si="21"/>
        <v>0</v>
      </c>
      <c r="AT15" s="92">
        <f t="shared" si="22"/>
        <v>0</v>
      </c>
      <c r="AU15" s="92">
        <f t="shared" si="23"/>
        <v>0</v>
      </c>
      <c r="AV15" s="92">
        <f t="shared" si="23"/>
        <v>0</v>
      </c>
    </row>
    <row r="16" spans="2:48" ht="19.5" customHeight="1">
      <c r="B16" s="176"/>
      <c r="C16" s="185"/>
      <c r="D16" s="179">
        <v>8</v>
      </c>
      <c r="E16" s="493">
        <f t="shared" si="13"/>
        <v>0</v>
      </c>
      <c r="F16" s="494">
        <f t="shared" si="14"/>
        <v>100</v>
      </c>
      <c r="G16" s="179">
        <v>100</v>
      </c>
      <c r="H16" s="179"/>
      <c r="I16" s="179"/>
      <c r="J16" s="179"/>
      <c r="K16" s="179"/>
      <c r="L16" s="179"/>
      <c r="M16" s="179"/>
      <c r="N16" s="179"/>
      <c r="O16" s="176"/>
      <c r="P16" s="176"/>
      <c r="AB16" s="503">
        <f t="shared" si="2"/>
        <v>1</v>
      </c>
      <c r="AC16" s="503">
        <f t="shared" si="3"/>
        <v>0</v>
      </c>
      <c r="AD16" s="503">
        <f t="shared" si="4"/>
        <v>0</v>
      </c>
      <c r="AE16" s="503">
        <f t="shared" si="5"/>
        <v>0</v>
      </c>
      <c r="AF16" s="503">
        <f t="shared" si="6"/>
        <v>0</v>
      </c>
      <c r="AG16" s="503">
        <f t="shared" si="7"/>
        <v>0</v>
      </c>
      <c r="AH16" s="503">
        <f t="shared" si="8"/>
        <v>0</v>
      </c>
      <c r="AI16" s="503">
        <f t="shared" si="9"/>
        <v>0</v>
      </c>
      <c r="AJ16" s="503">
        <f t="shared" si="10"/>
        <v>0</v>
      </c>
      <c r="AK16" s="503">
        <f t="shared" si="11"/>
        <v>0</v>
      </c>
      <c r="AM16" s="92">
        <f t="shared" si="15"/>
        <v>0</v>
      </c>
      <c r="AN16" s="92">
        <f t="shared" si="16"/>
        <v>0</v>
      </c>
      <c r="AO16" s="92">
        <f t="shared" si="17"/>
        <v>0</v>
      </c>
      <c r="AP16" s="92">
        <f t="shared" si="18"/>
        <v>0</v>
      </c>
      <c r="AQ16" s="92">
        <f t="shared" si="19"/>
        <v>0</v>
      </c>
      <c r="AR16" s="92">
        <f t="shared" si="20"/>
        <v>0</v>
      </c>
      <c r="AS16" s="92">
        <f t="shared" si="21"/>
        <v>0</v>
      </c>
      <c r="AT16" s="92">
        <f t="shared" si="22"/>
        <v>0</v>
      </c>
      <c r="AU16" s="92">
        <f t="shared" si="23"/>
        <v>0</v>
      </c>
      <c r="AV16" s="92">
        <f t="shared" si="23"/>
        <v>0</v>
      </c>
    </row>
    <row r="17" spans="2:50" ht="19.5" customHeight="1">
      <c r="B17" s="176"/>
      <c r="C17" s="185"/>
      <c r="D17" s="179">
        <v>8</v>
      </c>
      <c r="E17" s="493">
        <f t="shared" si="13"/>
        <v>0</v>
      </c>
      <c r="F17" s="494">
        <f t="shared" si="14"/>
        <v>100</v>
      </c>
      <c r="G17" s="179">
        <v>100</v>
      </c>
      <c r="H17" s="179"/>
      <c r="I17" s="179"/>
      <c r="J17" s="179"/>
      <c r="K17" s="179"/>
      <c r="L17" s="179"/>
      <c r="M17" s="179"/>
      <c r="N17" s="179"/>
      <c r="O17" s="176"/>
      <c r="P17" s="176"/>
      <c r="AB17" s="503">
        <f t="shared" si="2"/>
        <v>1</v>
      </c>
      <c r="AC17" s="503">
        <f t="shared" si="3"/>
        <v>0</v>
      </c>
      <c r="AD17" s="503">
        <f t="shared" si="4"/>
        <v>0</v>
      </c>
      <c r="AE17" s="503">
        <f t="shared" si="5"/>
        <v>0</v>
      </c>
      <c r="AF17" s="503">
        <f t="shared" si="6"/>
        <v>0</v>
      </c>
      <c r="AG17" s="503">
        <f t="shared" si="7"/>
        <v>0</v>
      </c>
      <c r="AH17" s="503">
        <f t="shared" si="8"/>
        <v>0</v>
      </c>
      <c r="AI17" s="503">
        <f t="shared" si="9"/>
        <v>0</v>
      </c>
      <c r="AJ17" s="503">
        <f t="shared" si="10"/>
        <v>0</v>
      </c>
      <c r="AK17" s="503">
        <f t="shared" si="11"/>
        <v>0</v>
      </c>
      <c r="AM17" s="92">
        <f t="shared" si="15"/>
        <v>0</v>
      </c>
      <c r="AN17" s="92">
        <f t="shared" si="16"/>
        <v>0</v>
      </c>
      <c r="AO17" s="92">
        <f t="shared" si="17"/>
        <v>0</v>
      </c>
      <c r="AP17" s="92">
        <f t="shared" si="18"/>
        <v>0</v>
      </c>
      <c r="AQ17" s="92">
        <f t="shared" si="19"/>
        <v>0</v>
      </c>
      <c r="AR17" s="92">
        <f t="shared" si="20"/>
        <v>0</v>
      </c>
      <c r="AS17" s="92">
        <f t="shared" si="21"/>
        <v>0</v>
      </c>
      <c r="AT17" s="92">
        <f t="shared" si="22"/>
        <v>0</v>
      </c>
      <c r="AU17" s="92">
        <f t="shared" si="23"/>
        <v>0</v>
      </c>
      <c r="AV17" s="92">
        <f t="shared" si="23"/>
        <v>0</v>
      </c>
    </row>
    <row r="18" spans="2:50" ht="19.5" customHeight="1">
      <c r="B18" s="176"/>
      <c r="C18" s="185"/>
      <c r="D18" s="179">
        <v>8</v>
      </c>
      <c r="E18" s="493">
        <f t="shared" si="13"/>
        <v>0</v>
      </c>
      <c r="F18" s="494">
        <f t="shared" si="14"/>
        <v>100</v>
      </c>
      <c r="G18" s="179">
        <v>100</v>
      </c>
      <c r="H18" s="179"/>
      <c r="I18" s="179"/>
      <c r="J18" s="179"/>
      <c r="K18" s="179"/>
      <c r="L18" s="179"/>
      <c r="M18" s="179"/>
      <c r="N18" s="179"/>
      <c r="O18" s="176"/>
      <c r="P18" s="176"/>
      <c r="AB18" s="503">
        <f t="shared" si="2"/>
        <v>1</v>
      </c>
      <c r="AC18" s="503">
        <f t="shared" si="3"/>
        <v>0</v>
      </c>
      <c r="AD18" s="503">
        <f t="shared" si="4"/>
        <v>0</v>
      </c>
      <c r="AE18" s="503">
        <f t="shared" si="5"/>
        <v>0</v>
      </c>
      <c r="AF18" s="503">
        <f t="shared" si="6"/>
        <v>0</v>
      </c>
      <c r="AG18" s="503">
        <f t="shared" si="7"/>
        <v>0</v>
      </c>
      <c r="AH18" s="503">
        <f t="shared" si="8"/>
        <v>0</v>
      </c>
      <c r="AI18" s="503">
        <f t="shared" si="9"/>
        <v>0</v>
      </c>
      <c r="AJ18" s="503">
        <f t="shared" si="10"/>
        <v>0</v>
      </c>
      <c r="AK18" s="503">
        <f t="shared" si="11"/>
        <v>0</v>
      </c>
      <c r="AM18" s="92">
        <f t="shared" si="15"/>
        <v>0</v>
      </c>
      <c r="AN18" s="92">
        <f t="shared" si="16"/>
        <v>0</v>
      </c>
      <c r="AO18" s="92">
        <f t="shared" si="17"/>
        <v>0</v>
      </c>
      <c r="AP18" s="92">
        <f t="shared" si="18"/>
        <v>0</v>
      </c>
      <c r="AQ18" s="92">
        <f t="shared" si="19"/>
        <v>0</v>
      </c>
      <c r="AR18" s="92">
        <f t="shared" si="20"/>
        <v>0</v>
      </c>
      <c r="AS18" s="92">
        <f t="shared" si="21"/>
        <v>0</v>
      </c>
      <c r="AT18" s="92">
        <f t="shared" si="22"/>
        <v>0</v>
      </c>
      <c r="AU18" s="92">
        <f t="shared" si="23"/>
        <v>0</v>
      </c>
      <c r="AV18" s="92">
        <f t="shared" si="23"/>
        <v>0</v>
      </c>
    </row>
    <row r="19" spans="2:50" ht="19.5" customHeight="1">
      <c r="B19" s="176"/>
      <c r="C19" s="185"/>
      <c r="D19" s="179">
        <v>8</v>
      </c>
      <c r="E19" s="493">
        <f t="shared" si="13"/>
        <v>0</v>
      </c>
      <c r="F19" s="494">
        <f t="shared" si="14"/>
        <v>100</v>
      </c>
      <c r="G19" s="179">
        <v>100</v>
      </c>
      <c r="H19" s="179"/>
      <c r="I19" s="179"/>
      <c r="J19" s="179"/>
      <c r="K19" s="179"/>
      <c r="L19" s="179"/>
      <c r="M19" s="179"/>
      <c r="N19" s="179"/>
      <c r="O19" s="176"/>
      <c r="P19" s="176"/>
      <c r="AB19" s="503">
        <f t="shared" si="2"/>
        <v>1</v>
      </c>
      <c r="AC19" s="503">
        <f t="shared" si="3"/>
        <v>0</v>
      </c>
      <c r="AD19" s="503">
        <f t="shared" si="4"/>
        <v>0</v>
      </c>
      <c r="AE19" s="503">
        <f t="shared" si="5"/>
        <v>0</v>
      </c>
      <c r="AF19" s="503">
        <f t="shared" si="6"/>
        <v>0</v>
      </c>
      <c r="AG19" s="503">
        <f t="shared" si="7"/>
        <v>0</v>
      </c>
      <c r="AH19" s="503">
        <f t="shared" si="8"/>
        <v>0</v>
      </c>
      <c r="AI19" s="503">
        <f t="shared" si="9"/>
        <v>0</v>
      </c>
      <c r="AJ19" s="503">
        <f t="shared" si="10"/>
        <v>0</v>
      </c>
      <c r="AK19" s="503">
        <f t="shared" si="11"/>
        <v>0</v>
      </c>
      <c r="AM19" s="92">
        <f t="shared" si="15"/>
        <v>0</v>
      </c>
      <c r="AN19" s="92">
        <f t="shared" si="16"/>
        <v>0</v>
      </c>
      <c r="AO19" s="92">
        <f t="shared" si="17"/>
        <v>0</v>
      </c>
      <c r="AP19" s="92">
        <f t="shared" si="18"/>
        <v>0</v>
      </c>
      <c r="AQ19" s="92">
        <f t="shared" si="19"/>
        <v>0</v>
      </c>
      <c r="AR19" s="92">
        <f t="shared" si="20"/>
        <v>0</v>
      </c>
      <c r="AS19" s="92">
        <f t="shared" si="21"/>
        <v>0</v>
      </c>
      <c r="AT19" s="92">
        <f t="shared" si="22"/>
        <v>0</v>
      </c>
      <c r="AU19" s="92">
        <f t="shared" si="23"/>
        <v>0</v>
      </c>
      <c r="AV19" s="92">
        <f t="shared" si="23"/>
        <v>0</v>
      </c>
    </row>
    <row r="20" spans="2:50" ht="19.5" customHeight="1">
      <c r="B20" s="176"/>
      <c r="C20" s="185"/>
      <c r="D20" s="179">
        <v>8</v>
      </c>
      <c r="E20" s="493">
        <f t="shared" si="13"/>
        <v>0</v>
      </c>
      <c r="F20" s="494">
        <f t="shared" si="14"/>
        <v>100</v>
      </c>
      <c r="G20" s="179">
        <v>100</v>
      </c>
      <c r="H20" s="179"/>
      <c r="I20" s="179"/>
      <c r="J20" s="179"/>
      <c r="K20" s="179"/>
      <c r="L20" s="179"/>
      <c r="M20" s="179"/>
      <c r="N20" s="179"/>
      <c r="O20" s="176"/>
      <c r="P20" s="176"/>
      <c r="AB20" s="503">
        <f t="shared" si="2"/>
        <v>1</v>
      </c>
      <c r="AC20" s="503">
        <f t="shared" si="3"/>
        <v>0</v>
      </c>
      <c r="AD20" s="503">
        <f t="shared" si="4"/>
        <v>0</v>
      </c>
      <c r="AE20" s="503">
        <f t="shared" si="5"/>
        <v>0</v>
      </c>
      <c r="AF20" s="503">
        <f t="shared" si="6"/>
        <v>0</v>
      </c>
      <c r="AG20" s="503">
        <f t="shared" si="7"/>
        <v>0</v>
      </c>
      <c r="AH20" s="503">
        <f t="shared" si="8"/>
        <v>0</v>
      </c>
      <c r="AI20" s="503">
        <f t="shared" si="9"/>
        <v>0</v>
      </c>
      <c r="AJ20" s="503">
        <f t="shared" si="10"/>
        <v>0</v>
      </c>
      <c r="AK20" s="503">
        <f t="shared" si="11"/>
        <v>0</v>
      </c>
      <c r="AM20" s="92">
        <f t="shared" si="15"/>
        <v>0</v>
      </c>
      <c r="AN20" s="92">
        <f t="shared" si="16"/>
        <v>0</v>
      </c>
      <c r="AO20" s="92">
        <f t="shared" si="17"/>
        <v>0</v>
      </c>
      <c r="AP20" s="92">
        <f t="shared" si="18"/>
        <v>0</v>
      </c>
      <c r="AQ20" s="92">
        <f t="shared" si="19"/>
        <v>0</v>
      </c>
      <c r="AR20" s="92">
        <f t="shared" si="20"/>
        <v>0</v>
      </c>
      <c r="AS20" s="92">
        <f t="shared" si="21"/>
        <v>0</v>
      </c>
      <c r="AT20" s="92">
        <f t="shared" si="22"/>
        <v>0</v>
      </c>
      <c r="AU20" s="92">
        <f t="shared" si="23"/>
        <v>0</v>
      </c>
      <c r="AV20" s="92">
        <f t="shared" si="23"/>
        <v>0</v>
      </c>
    </row>
    <row r="21" spans="2:50" ht="19.5" customHeight="1">
      <c r="B21" s="176"/>
      <c r="C21" s="185"/>
      <c r="D21" s="179">
        <v>8</v>
      </c>
      <c r="E21" s="493">
        <f t="shared" si="13"/>
        <v>0</v>
      </c>
      <c r="F21" s="494">
        <f t="shared" si="14"/>
        <v>100</v>
      </c>
      <c r="G21" s="179">
        <v>100</v>
      </c>
      <c r="H21" s="179"/>
      <c r="I21" s="179"/>
      <c r="J21" s="179"/>
      <c r="K21" s="179"/>
      <c r="L21" s="179"/>
      <c r="M21" s="179"/>
      <c r="N21" s="179"/>
      <c r="O21" s="176"/>
      <c r="P21" s="176"/>
      <c r="Q21" s="104"/>
      <c r="AB21" s="503">
        <f t="shared" si="2"/>
        <v>1</v>
      </c>
      <c r="AC21" s="503">
        <f t="shared" si="3"/>
        <v>0</v>
      </c>
      <c r="AD21" s="503">
        <f t="shared" si="4"/>
        <v>0</v>
      </c>
      <c r="AE21" s="503">
        <f t="shared" si="5"/>
        <v>0</v>
      </c>
      <c r="AF21" s="503">
        <f t="shared" si="6"/>
        <v>0</v>
      </c>
      <c r="AG21" s="503">
        <f t="shared" si="7"/>
        <v>0</v>
      </c>
      <c r="AH21" s="503">
        <f t="shared" si="8"/>
        <v>0</v>
      </c>
      <c r="AI21" s="503">
        <f t="shared" si="9"/>
        <v>0</v>
      </c>
      <c r="AJ21" s="503">
        <f t="shared" si="10"/>
        <v>0</v>
      </c>
      <c r="AK21" s="503">
        <f t="shared" si="11"/>
        <v>0</v>
      </c>
      <c r="AM21" s="92">
        <f t="shared" si="15"/>
        <v>0</v>
      </c>
      <c r="AN21" s="92">
        <f t="shared" si="16"/>
        <v>0</v>
      </c>
      <c r="AO21" s="92">
        <f t="shared" si="17"/>
        <v>0</v>
      </c>
      <c r="AP21" s="92">
        <f t="shared" si="18"/>
        <v>0</v>
      </c>
      <c r="AQ21" s="92">
        <f t="shared" si="19"/>
        <v>0</v>
      </c>
      <c r="AR21" s="92">
        <f t="shared" si="20"/>
        <v>0</v>
      </c>
      <c r="AS21" s="92">
        <f t="shared" si="21"/>
        <v>0</v>
      </c>
      <c r="AT21" s="92">
        <f t="shared" si="22"/>
        <v>0</v>
      </c>
      <c r="AU21" s="92">
        <f t="shared" si="23"/>
        <v>0</v>
      </c>
      <c r="AV21" s="92">
        <f t="shared" si="23"/>
        <v>0</v>
      </c>
    </row>
    <row r="22" spans="2:50" ht="19.5" customHeight="1">
      <c r="B22" s="176"/>
      <c r="C22" s="185"/>
      <c r="D22" s="179">
        <v>8</v>
      </c>
      <c r="E22" s="493">
        <f t="shared" si="13"/>
        <v>0</v>
      </c>
      <c r="F22" s="494">
        <f t="shared" si="14"/>
        <v>100</v>
      </c>
      <c r="G22" s="179">
        <v>100</v>
      </c>
      <c r="H22" s="179"/>
      <c r="I22" s="179"/>
      <c r="J22" s="179"/>
      <c r="K22" s="179"/>
      <c r="L22" s="179"/>
      <c r="M22" s="179"/>
      <c r="N22" s="179"/>
      <c r="O22" s="176"/>
      <c r="P22" s="176"/>
      <c r="Q22" s="104"/>
      <c r="AB22" s="503">
        <f t="shared" si="2"/>
        <v>1</v>
      </c>
      <c r="AC22" s="503">
        <f t="shared" si="3"/>
        <v>0</v>
      </c>
      <c r="AD22" s="503">
        <f t="shared" si="4"/>
        <v>0</v>
      </c>
      <c r="AE22" s="503">
        <f t="shared" si="5"/>
        <v>0</v>
      </c>
      <c r="AF22" s="503">
        <f t="shared" si="6"/>
        <v>0</v>
      </c>
      <c r="AG22" s="503">
        <f t="shared" si="7"/>
        <v>0</v>
      </c>
      <c r="AH22" s="503">
        <f t="shared" si="8"/>
        <v>0</v>
      </c>
      <c r="AI22" s="503">
        <f t="shared" si="9"/>
        <v>0</v>
      </c>
      <c r="AJ22" s="503">
        <f t="shared" si="10"/>
        <v>0</v>
      </c>
      <c r="AK22" s="503">
        <f t="shared" si="11"/>
        <v>0</v>
      </c>
      <c r="AM22" s="92">
        <f t="shared" si="15"/>
        <v>0</v>
      </c>
      <c r="AN22" s="92">
        <f t="shared" si="16"/>
        <v>0</v>
      </c>
      <c r="AO22" s="92">
        <f t="shared" si="17"/>
        <v>0</v>
      </c>
      <c r="AP22" s="92">
        <f t="shared" si="18"/>
        <v>0</v>
      </c>
      <c r="AQ22" s="92">
        <f t="shared" si="19"/>
        <v>0</v>
      </c>
      <c r="AR22" s="92">
        <f t="shared" si="20"/>
        <v>0</v>
      </c>
      <c r="AS22" s="92">
        <f t="shared" si="21"/>
        <v>0</v>
      </c>
      <c r="AT22" s="92">
        <f t="shared" si="22"/>
        <v>0</v>
      </c>
      <c r="AU22" s="92">
        <f t="shared" si="23"/>
        <v>0</v>
      </c>
      <c r="AV22" s="92">
        <f t="shared" si="23"/>
        <v>0</v>
      </c>
    </row>
    <row r="23" spans="2:50" ht="19.5" customHeight="1">
      <c r="B23" s="176"/>
      <c r="C23" s="185"/>
      <c r="D23" s="179">
        <v>8</v>
      </c>
      <c r="E23" s="493">
        <f t="shared" si="13"/>
        <v>0</v>
      </c>
      <c r="F23" s="494">
        <f t="shared" si="14"/>
        <v>100</v>
      </c>
      <c r="G23" s="179">
        <v>100</v>
      </c>
      <c r="H23" s="179"/>
      <c r="I23" s="179"/>
      <c r="J23" s="179"/>
      <c r="K23" s="179"/>
      <c r="L23" s="179"/>
      <c r="M23" s="179"/>
      <c r="N23" s="179"/>
      <c r="O23" s="176"/>
      <c r="P23" s="176"/>
      <c r="AB23" s="503">
        <f t="shared" si="2"/>
        <v>1</v>
      </c>
      <c r="AC23" s="503">
        <f t="shared" si="3"/>
        <v>0</v>
      </c>
      <c r="AD23" s="503">
        <f t="shared" si="4"/>
        <v>0</v>
      </c>
      <c r="AE23" s="503">
        <f t="shared" si="5"/>
        <v>0</v>
      </c>
      <c r="AF23" s="503">
        <f t="shared" si="6"/>
        <v>0</v>
      </c>
      <c r="AG23" s="503">
        <f t="shared" si="7"/>
        <v>0</v>
      </c>
      <c r="AH23" s="503">
        <f t="shared" si="8"/>
        <v>0</v>
      </c>
      <c r="AI23" s="503">
        <f t="shared" si="9"/>
        <v>0</v>
      </c>
      <c r="AJ23" s="503">
        <f t="shared" si="10"/>
        <v>0</v>
      </c>
      <c r="AK23" s="503">
        <f t="shared" si="11"/>
        <v>0</v>
      </c>
      <c r="AM23" s="92">
        <f t="shared" si="15"/>
        <v>0</v>
      </c>
      <c r="AN23" s="92">
        <f t="shared" si="16"/>
        <v>0</v>
      </c>
      <c r="AO23" s="92">
        <f t="shared" si="17"/>
        <v>0</v>
      </c>
      <c r="AP23" s="92">
        <f t="shared" si="18"/>
        <v>0</v>
      </c>
      <c r="AQ23" s="92">
        <f t="shared" si="19"/>
        <v>0</v>
      </c>
      <c r="AR23" s="92">
        <f t="shared" si="20"/>
        <v>0</v>
      </c>
      <c r="AS23" s="92">
        <f t="shared" si="21"/>
        <v>0</v>
      </c>
      <c r="AT23" s="92">
        <f t="shared" si="22"/>
        <v>0</v>
      </c>
      <c r="AU23" s="92">
        <f t="shared" si="23"/>
        <v>0</v>
      </c>
      <c r="AV23" s="92">
        <f t="shared" si="23"/>
        <v>0</v>
      </c>
    </row>
    <row r="24" spans="2:50" ht="19.5" customHeight="1">
      <c r="B24" s="176"/>
      <c r="C24" s="185"/>
      <c r="D24" s="179">
        <v>8</v>
      </c>
      <c r="E24" s="493">
        <f t="shared" si="13"/>
        <v>0</v>
      </c>
      <c r="F24" s="494">
        <f t="shared" si="14"/>
        <v>100</v>
      </c>
      <c r="G24" s="179">
        <v>100</v>
      </c>
      <c r="H24" s="179"/>
      <c r="I24" s="179"/>
      <c r="J24" s="179"/>
      <c r="K24" s="179"/>
      <c r="L24" s="179"/>
      <c r="M24" s="179"/>
      <c r="N24" s="179"/>
      <c r="O24" s="176"/>
      <c r="P24" s="176"/>
      <c r="Q24" s="104"/>
      <c r="AB24" s="503">
        <f t="shared" si="2"/>
        <v>1</v>
      </c>
      <c r="AC24" s="503">
        <f t="shared" si="3"/>
        <v>0</v>
      </c>
      <c r="AD24" s="503">
        <f t="shared" si="4"/>
        <v>0</v>
      </c>
      <c r="AE24" s="503">
        <f t="shared" si="5"/>
        <v>0</v>
      </c>
      <c r="AF24" s="503">
        <f t="shared" si="6"/>
        <v>0</v>
      </c>
      <c r="AG24" s="503">
        <f t="shared" si="7"/>
        <v>0</v>
      </c>
      <c r="AH24" s="503">
        <f t="shared" si="8"/>
        <v>0</v>
      </c>
      <c r="AI24" s="503">
        <f t="shared" si="9"/>
        <v>0</v>
      </c>
      <c r="AJ24" s="503">
        <f t="shared" si="10"/>
        <v>0</v>
      </c>
      <c r="AK24" s="503">
        <f t="shared" si="11"/>
        <v>0</v>
      </c>
      <c r="AM24" s="92">
        <f t="shared" si="15"/>
        <v>0</v>
      </c>
      <c r="AN24" s="92">
        <f t="shared" si="16"/>
        <v>0</v>
      </c>
      <c r="AO24" s="92">
        <f t="shared" si="17"/>
        <v>0</v>
      </c>
      <c r="AP24" s="92">
        <f t="shared" si="18"/>
        <v>0</v>
      </c>
      <c r="AQ24" s="92">
        <f t="shared" si="19"/>
        <v>0</v>
      </c>
      <c r="AR24" s="92">
        <f t="shared" si="20"/>
        <v>0</v>
      </c>
      <c r="AS24" s="92">
        <f t="shared" si="21"/>
        <v>0</v>
      </c>
      <c r="AT24" s="92">
        <f t="shared" si="22"/>
        <v>0</v>
      </c>
      <c r="AU24" s="92">
        <f t="shared" si="23"/>
        <v>0</v>
      </c>
      <c r="AV24" s="92">
        <f t="shared" si="23"/>
        <v>0</v>
      </c>
    </row>
    <row r="25" spans="2:50" ht="19.5" customHeight="1">
      <c r="B25" s="176"/>
      <c r="C25" s="185"/>
      <c r="D25" s="179">
        <v>8</v>
      </c>
      <c r="E25" s="493">
        <f t="shared" si="13"/>
        <v>0</v>
      </c>
      <c r="F25" s="494">
        <f t="shared" si="14"/>
        <v>100</v>
      </c>
      <c r="G25" s="179">
        <v>100</v>
      </c>
      <c r="H25" s="179"/>
      <c r="I25" s="179"/>
      <c r="J25" s="179"/>
      <c r="K25" s="179"/>
      <c r="L25" s="179"/>
      <c r="M25" s="179"/>
      <c r="N25" s="179"/>
      <c r="O25" s="176"/>
      <c r="P25" s="176"/>
      <c r="Q25" s="104" t="s">
        <v>46</v>
      </c>
      <c r="AB25" s="503">
        <f t="shared" ref="AB25:AK25" si="24">G25/$F25</f>
        <v>1</v>
      </c>
      <c r="AC25" s="503">
        <f t="shared" si="24"/>
        <v>0</v>
      </c>
      <c r="AD25" s="503">
        <f t="shared" si="24"/>
        <v>0</v>
      </c>
      <c r="AE25" s="503">
        <f t="shared" si="24"/>
        <v>0</v>
      </c>
      <c r="AF25" s="503">
        <f t="shared" si="24"/>
        <v>0</v>
      </c>
      <c r="AG25" s="503">
        <f t="shared" si="24"/>
        <v>0</v>
      </c>
      <c r="AH25" s="503">
        <f t="shared" si="24"/>
        <v>0</v>
      </c>
      <c r="AI25" s="503">
        <f t="shared" si="24"/>
        <v>0</v>
      </c>
      <c r="AJ25" s="503">
        <f t="shared" si="24"/>
        <v>0</v>
      </c>
      <c r="AK25" s="503">
        <f t="shared" si="24"/>
        <v>0</v>
      </c>
      <c r="AM25" s="92">
        <f t="shared" si="15"/>
        <v>0</v>
      </c>
      <c r="AN25" s="92">
        <f t="shared" si="16"/>
        <v>0</v>
      </c>
      <c r="AO25" s="92">
        <f t="shared" si="17"/>
        <v>0</v>
      </c>
      <c r="AP25" s="92">
        <f t="shared" si="18"/>
        <v>0</v>
      </c>
      <c r="AQ25" s="92">
        <f t="shared" si="19"/>
        <v>0</v>
      </c>
      <c r="AR25" s="92">
        <f t="shared" si="20"/>
        <v>0</v>
      </c>
      <c r="AS25" s="92">
        <f t="shared" si="21"/>
        <v>0</v>
      </c>
      <c r="AT25" s="92">
        <f t="shared" si="22"/>
        <v>0</v>
      </c>
      <c r="AU25" s="92">
        <f t="shared" si="23"/>
        <v>0</v>
      </c>
      <c r="AV25" s="92">
        <f t="shared" si="23"/>
        <v>0</v>
      </c>
    </row>
    <row r="26" spans="2:50">
      <c r="B26" s="95" t="s">
        <v>59</v>
      </c>
      <c r="C26" s="68"/>
      <c r="D26" s="88"/>
      <c r="E26" s="69">
        <f>SUM(E7:E25)</f>
        <v>0</v>
      </c>
      <c r="F26" s="65"/>
      <c r="G26" s="69" t="e">
        <f>SUM(AM7:AM25)</f>
        <v>#DIV/0!</v>
      </c>
      <c r="H26" s="69" t="e">
        <f t="shared" ref="H26:P26" si="25">SUM(AN7:AN25)</f>
        <v>#DIV/0!</v>
      </c>
      <c r="I26" s="69" t="e">
        <f t="shared" si="25"/>
        <v>#DIV/0!</v>
      </c>
      <c r="J26" s="69" t="e">
        <f t="shared" si="25"/>
        <v>#DIV/0!</v>
      </c>
      <c r="K26" s="69" t="e">
        <f t="shared" si="25"/>
        <v>#DIV/0!</v>
      </c>
      <c r="L26" s="69" t="e">
        <f t="shared" si="25"/>
        <v>#DIV/0!</v>
      </c>
      <c r="M26" s="69" t="e">
        <f t="shared" si="25"/>
        <v>#DIV/0!</v>
      </c>
      <c r="N26" s="69" t="e">
        <f t="shared" si="25"/>
        <v>#DIV/0!</v>
      </c>
      <c r="O26" s="69" t="e">
        <f t="shared" si="25"/>
        <v>#DIV/0!</v>
      </c>
      <c r="P26" s="69" t="e">
        <f t="shared" si="25"/>
        <v>#DIV/0!</v>
      </c>
      <c r="Q26" s="105" t="e">
        <f>SUM(G26:O26)</f>
        <v>#DIV/0!</v>
      </c>
      <c r="AB26" s="88"/>
      <c r="AC26" s="88"/>
      <c r="AD26" s="88"/>
      <c r="AE26" s="88"/>
      <c r="AF26" s="88"/>
      <c r="AG26" s="88"/>
      <c r="AH26" s="88"/>
      <c r="AI26" s="88"/>
      <c r="AJ26" s="88"/>
      <c r="AM26" s="91"/>
      <c r="AN26" s="91"/>
      <c r="AO26" s="91"/>
      <c r="AP26" s="91"/>
      <c r="AQ26" s="91"/>
      <c r="AR26" s="91"/>
      <c r="AS26" s="91"/>
      <c r="AT26" s="91"/>
      <c r="AU26" s="91"/>
      <c r="AV26" s="91"/>
    </row>
    <row r="27" spans="2:50">
      <c r="B27" s="95"/>
      <c r="C27" s="68"/>
      <c r="D27" s="88"/>
      <c r="E27" s="69"/>
      <c r="F27" s="65"/>
      <c r="G27" s="69"/>
      <c r="H27" s="69"/>
      <c r="I27" s="69"/>
      <c r="J27" s="69"/>
      <c r="K27" s="69"/>
      <c r="L27" s="69"/>
      <c r="M27" s="69"/>
      <c r="N27" s="69"/>
      <c r="O27" s="69"/>
      <c r="Q27" s="105"/>
    </row>
    <row r="28" spans="2:50">
      <c r="B28" s="95"/>
      <c r="C28" s="68"/>
      <c r="D28" s="88"/>
      <c r="E28" s="69"/>
      <c r="F28" s="360"/>
      <c r="G28" s="69"/>
      <c r="H28" s="69"/>
      <c r="I28" s="69"/>
      <c r="J28" s="69"/>
      <c r="K28" s="69"/>
      <c r="L28" s="69"/>
      <c r="M28" s="69"/>
      <c r="N28" s="69"/>
      <c r="O28" s="69"/>
      <c r="Q28" s="105"/>
    </row>
    <row r="29" spans="2:50">
      <c r="B29" s="95"/>
      <c r="C29" s="68"/>
      <c r="D29" s="88"/>
      <c r="E29" s="69"/>
      <c r="F29" s="360"/>
      <c r="G29" s="69"/>
      <c r="H29" s="69"/>
      <c r="I29" s="69"/>
      <c r="J29" s="69"/>
      <c r="K29" s="69"/>
      <c r="L29" s="69"/>
      <c r="M29" s="69"/>
      <c r="N29" s="69"/>
      <c r="O29" s="69"/>
      <c r="Q29" s="105"/>
      <c r="AB29" s="502" t="s">
        <v>553</v>
      </c>
    </row>
    <row r="30" spans="2:50" ht="38.25" customHeight="1">
      <c r="B30" s="68"/>
      <c r="C30" s="68"/>
      <c r="D30" s="88"/>
      <c r="E30" s="88"/>
      <c r="F30" s="88"/>
      <c r="G30" s="922" t="s">
        <v>155</v>
      </c>
      <c r="H30" s="922"/>
      <c r="I30" s="922"/>
      <c r="J30" s="922"/>
      <c r="K30" s="922"/>
      <c r="L30" s="922"/>
      <c r="M30" s="922"/>
      <c r="N30" s="922"/>
      <c r="O30" s="922"/>
      <c r="P30" s="922"/>
      <c r="AB30" s="86" t="s">
        <v>554</v>
      </c>
    </row>
    <row r="31" spans="2:50" s="67" customFormat="1" ht="28">
      <c r="B31" s="496" t="s">
        <v>392</v>
      </c>
      <c r="C31" s="491" t="s">
        <v>156</v>
      </c>
      <c r="D31" s="492" t="s">
        <v>154</v>
      </c>
      <c r="E31" s="491" t="str">
        <f>'About My Ranch'!$F$19&amp;" $ Depreciation"</f>
        <v xml:space="preserve"> $ Depreciation</v>
      </c>
      <c r="F31" s="491" t="s">
        <v>391</v>
      </c>
      <c r="G31" s="492" t="str">
        <f>IF('About My Ranch'!$D$6="X","Cow-Calf","")</f>
        <v>Cow-Calf</v>
      </c>
      <c r="H31" s="492" t="str">
        <f>IF('About My Ranch'!$D$7="X","Repl Hfr","")</f>
        <v/>
      </c>
      <c r="I31" s="492" t="str">
        <f>IF('About My Ranch'!$D$9="X","Bckgrdr","")</f>
        <v/>
      </c>
      <c r="J31" s="492" t="str">
        <f>IF('About My Ranch'!$D$10="X","Grasser","")</f>
        <v/>
      </c>
      <c r="K31" s="492" t="str">
        <f>IF('About My Ranch'!$D$11="x","Finisher","")</f>
        <v/>
      </c>
      <c r="L31" s="492" t="str">
        <f>IF('About My Ranch'!$D$12="X","Forage","")</f>
        <v/>
      </c>
      <c r="M31" s="492" t="str">
        <f>IF('About My Ranch'!$D$13="x","Grazing","")</f>
        <v/>
      </c>
      <c r="N31" s="492" t="str">
        <f>IF('About My Ranch'!$D$14="x","Grain","")</f>
        <v/>
      </c>
      <c r="O31" s="492" t="str">
        <f>IF('About My Ranch'!$D$15="x",'About My Ranch'!F35,"")</f>
        <v/>
      </c>
      <c r="P31" s="627" t="str">
        <f>IF('About My Ranch'!$D$8="X","Ranch-Raised Bull","")</f>
        <v/>
      </c>
      <c r="Q31" s="106"/>
      <c r="AB31" s="66" t="str">
        <f>G31</f>
        <v>Cow-Calf</v>
      </c>
      <c r="AC31" s="66" t="str">
        <f t="shared" ref="AC31:AK31" si="26">H31</f>
        <v/>
      </c>
      <c r="AD31" s="66" t="str">
        <f t="shared" si="26"/>
        <v/>
      </c>
      <c r="AE31" s="66" t="str">
        <f t="shared" si="26"/>
        <v/>
      </c>
      <c r="AF31" s="66" t="str">
        <f t="shared" si="26"/>
        <v/>
      </c>
      <c r="AG31" s="66" t="str">
        <f t="shared" si="26"/>
        <v/>
      </c>
      <c r="AH31" s="66" t="str">
        <f t="shared" si="26"/>
        <v/>
      </c>
      <c r="AI31" s="66" t="str">
        <f t="shared" si="26"/>
        <v/>
      </c>
      <c r="AJ31" s="66" t="str">
        <f t="shared" si="26"/>
        <v/>
      </c>
      <c r="AK31" s="506" t="str">
        <f t="shared" si="26"/>
        <v/>
      </c>
      <c r="AL31" s="95"/>
      <c r="AM31" s="629" t="str">
        <f>G31</f>
        <v>Cow-Calf</v>
      </c>
      <c r="AN31" s="66" t="str">
        <f t="shared" ref="AN31:AV31" si="27">H31</f>
        <v/>
      </c>
      <c r="AO31" s="66" t="str">
        <f t="shared" si="27"/>
        <v/>
      </c>
      <c r="AP31" s="66" t="str">
        <f t="shared" si="27"/>
        <v/>
      </c>
      <c r="AQ31" s="66" t="str">
        <f t="shared" si="27"/>
        <v/>
      </c>
      <c r="AR31" s="66" t="str">
        <f t="shared" si="27"/>
        <v/>
      </c>
      <c r="AS31" s="66" t="str">
        <f t="shared" si="27"/>
        <v/>
      </c>
      <c r="AT31" s="66" t="str">
        <f t="shared" si="27"/>
        <v/>
      </c>
      <c r="AU31" s="66" t="str">
        <f t="shared" si="27"/>
        <v/>
      </c>
      <c r="AV31" s="506" t="str">
        <f t="shared" si="27"/>
        <v/>
      </c>
      <c r="AW31" s="506" t="s">
        <v>556</v>
      </c>
      <c r="AX31" s="507"/>
    </row>
    <row r="32" spans="2:50">
      <c r="B32" s="176"/>
      <c r="C32" s="185"/>
      <c r="D32" s="179">
        <v>11.5</v>
      </c>
      <c r="E32" s="501">
        <f t="shared" ref="E32:E49" si="28">C32*(D32/100)</f>
        <v>0</v>
      </c>
      <c r="F32" s="494">
        <f>SUM(G32:P32)</f>
        <v>0</v>
      </c>
      <c r="G32" s="179"/>
      <c r="H32" s="179"/>
      <c r="I32" s="179"/>
      <c r="J32" s="179"/>
      <c r="K32" s="179"/>
      <c r="L32" s="179"/>
      <c r="M32" s="179"/>
      <c r="N32" s="179"/>
      <c r="O32" s="179"/>
      <c r="P32" s="176"/>
      <c r="AB32" s="70" t="e">
        <f>G32/$F32</f>
        <v>#DIV/0!</v>
      </c>
      <c r="AC32" s="70" t="e">
        <f t="shared" ref="AC32:AK47" si="29">H32/$F32</f>
        <v>#DIV/0!</v>
      </c>
      <c r="AD32" s="70" t="e">
        <f t="shared" si="29"/>
        <v>#DIV/0!</v>
      </c>
      <c r="AE32" s="70" t="e">
        <f t="shared" si="29"/>
        <v>#DIV/0!</v>
      </c>
      <c r="AF32" s="70" t="e">
        <f t="shared" si="29"/>
        <v>#DIV/0!</v>
      </c>
      <c r="AG32" s="70" t="e">
        <f t="shared" si="29"/>
        <v>#DIV/0!</v>
      </c>
      <c r="AH32" s="70" t="e">
        <f t="shared" si="29"/>
        <v>#DIV/0!</v>
      </c>
      <c r="AI32" s="70" t="e">
        <f t="shared" si="29"/>
        <v>#DIV/0!</v>
      </c>
      <c r="AJ32" s="70" t="e">
        <f t="shared" si="29"/>
        <v>#DIV/0!</v>
      </c>
      <c r="AK32" s="70" t="e">
        <f t="shared" si="29"/>
        <v>#DIV/0!</v>
      </c>
      <c r="AM32" s="613" t="e">
        <f>AB32*$E32</f>
        <v>#DIV/0!</v>
      </c>
      <c r="AN32" s="613" t="e">
        <f t="shared" ref="AN32:AV47" si="30">AC32*$E32</f>
        <v>#DIV/0!</v>
      </c>
      <c r="AO32" s="613" t="e">
        <f t="shared" si="30"/>
        <v>#DIV/0!</v>
      </c>
      <c r="AP32" s="613" t="e">
        <f t="shared" si="30"/>
        <v>#DIV/0!</v>
      </c>
      <c r="AQ32" s="613" t="e">
        <f t="shared" si="30"/>
        <v>#DIV/0!</v>
      </c>
      <c r="AR32" s="613" t="e">
        <f t="shared" si="30"/>
        <v>#DIV/0!</v>
      </c>
      <c r="AS32" s="613" t="e">
        <f t="shared" si="30"/>
        <v>#DIV/0!</v>
      </c>
      <c r="AT32" s="613" t="e">
        <f t="shared" si="30"/>
        <v>#DIV/0!</v>
      </c>
      <c r="AU32" s="613" t="e">
        <f t="shared" si="30"/>
        <v>#DIV/0!</v>
      </c>
      <c r="AV32" s="613" t="e">
        <f t="shared" si="30"/>
        <v>#DIV/0!</v>
      </c>
      <c r="AW32" s="92" t="e">
        <f>SUM(AM32:AU32)</f>
        <v>#DIV/0!</v>
      </c>
    </row>
    <row r="33" spans="2:49">
      <c r="B33" s="176"/>
      <c r="C33" s="185"/>
      <c r="D33" s="179">
        <v>11.5</v>
      </c>
      <c r="E33" s="501">
        <f t="shared" si="28"/>
        <v>0</v>
      </c>
      <c r="F33" s="494">
        <f t="shared" ref="F33:F50" si="31">SUM(G33:P33)</f>
        <v>0</v>
      </c>
      <c r="G33" s="179"/>
      <c r="H33" s="179"/>
      <c r="I33" s="179"/>
      <c r="J33" s="179"/>
      <c r="K33" s="179"/>
      <c r="L33" s="179"/>
      <c r="M33" s="179"/>
      <c r="N33" s="179"/>
      <c r="O33" s="179"/>
      <c r="P33" s="179"/>
      <c r="AB33" s="70" t="e">
        <f t="shared" ref="AB33:AB50" si="32">G33/$F33</f>
        <v>#DIV/0!</v>
      </c>
      <c r="AC33" s="70" t="e">
        <f t="shared" si="29"/>
        <v>#DIV/0!</v>
      </c>
      <c r="AD33" s="70" t="e">
        <f t="shared" si="29"/>
        <v>#DIV/0!</v>
      </c>
      <c r="AE33" s="70" t="e">
        <f t="shared" si="29"/>
        <v>#DIV/0!</v>
      </c>
      <c r="AF33" s="70" t="e">
        <f t="shared" si="29"/>
        <v>#DIV/0!</v>
      </c>
      <c r="AG33" s="70" t="e">
        <f t="shared" si="29"/>
        <v>#DIV/0!</v>
      </c>
      <c r="AH33" s="70" t="e">
        <f t="shared" si="29"/>
        <v>#DIV/0!</v>
      </c>
      <c r="AI33" s="70" t="e">
        <f t="shared" si="29"/>
        <v>#DIV/0!</v>
      </c>
      <c r="AJ33" s="70" t="e">
        <f t="shared" si="29"/>
        <v>#DIV/0!</v>
      </c>
      <c r="AK33" s="70" t="e">
        <f t="shared" si="29"/>
        <v>#DIV/0!</v>
      </c>
      <c r="AM33" s="613" t="e">
        <f t="shared" ref="AM33:AM50" si="33">AB33*$E33</f>
        <v>#DIV/0!</v>
      </c>
      <c r="AN33" s="613" t="e">
        <f t="shared" si="30"/>
        <v>#DIV/0!</v>
      </c>
      <c r="AO33" s="613" t="e">
        <f t="shared" si="30"/>
        <v>#DIV/0!</v>
      </c>
      <c r="AP33" s="613" t="e">
        <f t="shared" si="30"/>
        <v>#DIV/0!</v>
      </c>
      <c r="AQ33" s="613" t="e">
        <f t="shared" si="30"/>
        <v>#DIV/0!</v>
      </c>
      <c r="AR33" s="613" t="e">
        <f t="shared" si="30"/>
        <v>#DIV/0!</v>
      </c>
      <c r="AS33" s="613" t="e">
        <f t="shared" si="30"/>
        <v>#DIV/0!</v>
      </c>
      <c r="AT33" s="613" t="e">
        <f t="shared" si="30"/>
        <v>#DIV/0!</v>
      </c>
      <c r="AU33" s="613" t="e">
        <f t="shared" si="30"/>
        <v>#DIV/0!</v>
      </c>
      <c r="AV33" s="613" t="e">
        <f t="shared" si="30"/>
        <v>#DIV/0!</v>
      </c>
      <c r="AW33" s="92" t="e">
        <f t="shared" ref="AW33:AW50" si="34">SUM(AM33:AU33)</f>
        <v>#DIV/0!</v>
      </c>
    </row>
    <row r="34" spans="2:49">
      <c r="B34" s="176"/>
      <c r="C34" s="185"/>
      <c r="D34" s="179">
        <v>11.5</v>
      </c>
      <c r="E34" s="501">
        <f t="shared" si="28"/>
        <v>0</v>
      </c>
      <c r="F34" s="494">
        <f t="shared" si="31"/>
        <v>0</v>
      </c>
      <c r="G34" s="179"/>
      <c r="H34" s="179"/>
      <c r="I34" s="179"/>
      <c r="J34" s="179"/>
      <c r="K34" s="179"/>
      <c r="L34" s="179"/>
      <c r="M34" s="179"/>
      <c r="N34" s="179"/>
      <c r="O34" s="179"/>
      <c r="P34" s="179"/>
      <c r="AB34" s="70" t="e">
        <f t="shared" si="32"/>
        <v>#DIV/0!</v>
      </c>
      <c r="AC34" s="70" t="e">
        <f t="shared" si="29"/>
        <v>#DIV/0!</v>
      </c>
      <c r="AD34" s="70" t="e">
        <f t="shared" si="29"/>
        <v>#DIV/0!</v>
      </c>
      <c r="AE34" s="70" t="e">
        <f t="shared" si="29"/>
        <v>#DIV/0!</v>
      </c>
      <c r="AF34" s="70" t="e">
        <f t="shared" si="29"/>
        <v>#DIV/0!</v>
      </c>
      <c r="AG34" s="70" t="e">
        <f t="shared" si="29"/>
        <v>#DIV/0!</v>
      </c>
      <c r="AH34" s="70" t="e">
        <f t="shared" si="29"/>
        <v>#DIV/0!</v>
      </c>
      <c r="AI34" s="70" t="e">
        <f t="shared" si="29"/>
        <v>#DIV/0!</v>
      </c>
      <c r="AJ34" s="70" t="e">
        <f t="shared" si="29"/>
        <v>#DIV/0!</v>
      </c>
      <c r="AK34" s="70" t="e">
        <f t="shared" si="29"/>
        <v>#DIV/0!</v>
      </c>
      <c r="AM34" s="613" t="e">
        <f t="shared" si="33"/>
        <v>#DIV/0!</v>
      </c>
      <c r="AN34" s="613" t="e">
        <f t="shared" si="30"/>
        <v>#DIV/0!</v>
      </c>
      <c r="AO34" s="613" t="e">
        <f t="shared" si="30"/>
        <v>#DIV/0!</v>
      </c>
      <c r="AP34" s="613" t="e">
        <f t="shared" si="30"/>
        <v>#DIV/0!</v>
      </c>
      <c r="AQ34" s="613" t="e">
        <f t="shared" si="30"/>
        <v>#DIV/0!</v>
      </c>
      <c r="AR34" s="613" t="e">
        <f t="shared" si="30"/>
        <v>#DIV/0!</v>
      </c>
      <c r="AS34" s="613" t="e">
        <f t="shared" si="30"/>
        <v>#DIV/0!</v>
      </c>
      <c r="AT34" s="613" t="e">
        <f t="shared" si="30"/>
        <v>#DIV/0!</v>
      </c>
      <c r="AU34" s="613" t="e">
        <f t="shared" si="30"/>
        <v>#DIV/0!</v>
      </c>
      <c r="AV34" s="613" t="e">
        <f t="shared" si="30"/>
        <v>#DIV/0!</v>
      </c>
      <c r="AW34" s="92" t="e">
        <f t="shared" si="34"/>
        <v>#DIV/0!</v>
      </c>
    </row>
    <row r="35" spans="2:49">
      <c r="B35" s="176"/>
      <c r="C35" s="185"/>
      <c r="D35" s="179">
        <v>11.5</v>
      </c>
      <c r="E35" s="501">
        <f t="shared" si="28"/>
        <v>0</v>
      </c>
      <c r="F35" s="494">
        <f t="shared" si="31"/>
        <v>0</v>
      </c>
      <c r="G35" s="179"/>
      <c r="H35" s="179"/>
      <c r="I35" s="179"/>
      <c r="J35" s="179"/>
      <c r="K35" s="179"/>
      <c r="L35" s="179"/>
      <c r="M35" s="179"/>
      <c r="N35" s="179"/>
      <c r="O35" s="179"/>
      <c r="P35" s="179"/>
      <c r="AB35" s="70" t="e">
        <f t="shared" si="32"/>
        <v>#DIV/0!</v>
      </c>
      <c r="AC35" s="70" t="e">
        <f t="shared" si="29"/>
        <v>#DIV/0!</v>
      </c>
      <c r="AD35" s="70" t="e">
        <f t="shared" si="29"/>
        <v>#DIV/0!</v>
      </c>
      <c r="AE35" s="70" t="e">
        <f t="shared" si="29"/>
        <v>#DIV/0!</v>
      </c>
      <c r="AF35" s="70" t="e">
        <f t="shared" si="29"/>
        <v>#DIV/0!</v>
      </c>
      <c r="AG35" s="70" t="e">
        <f t="shared" si="29"/>
        <v>#DIV/0!</v>
      </c>
      <c r="AH35" s="70" t="e">
        <f t="shared" si="29"/>
        <v>#DIV/0!</v>
      </c>
      <c r="AI35" s="70" t="e">
        <f t="shared" si="29"/>
        <v>#DIV/0!</v>
      </c>
      <c r="AJ35" s="70" t="e">
        <f t="shared" si="29"/>
        <v>#DIV/0!</v>
      </c>
      <c r="AK35" s="70" t="e">
        <f t="shared" si="29"/>
        <v>#DIV/0!</v>
      </c>
      <c r="AM35" s="613" t="e">
        <f t="shared" si="33"/>
        <v>#DIV/0!</v>
      </c>
      <c r="AN35" s="613" t="e">
        <f t="shared" si="30"/>
        <v>#DIV/0!</v>
      </c>
      <c r="AO35" s="613" t="e">
        <f t="shared" si="30"/>
        <v>#DIV/0!</v>
      </c>
      <c r="AP35" s="613" t="e">
        <f t="shared" si="30"/>
        <v>#DIV/0!</v>
      </c>
      <c r="AQ35" s="613" t="e">
        <f t="shared" si="30"/>
        <v>#DIV/0!</v>
      </c>
      <c r="AR35" s="613" t="e">
        <f t="shared" si="30"/>
        <v>#DIV/0!</v>
      </c>
      <c r="AS35" s="613" t="e">
        <f t="shared" si="30"/>
        <v>#DIV/0!</v>
      </c>
      <c r="AT35" s="613" t="e">
        <f t="shared" si="30"/>
        <v>#DIV/0!</v>
      </c>
      <c r="AU35" s="613" t="e">
        <f t="shared" si="30"/>
        <v>#DIV/0!</v>
      </c>
      <c r="AV35" s="613" t="e">
        <f t="shared" si="30"/>
        <v>#DIV/0!</v>
      </c>
      <c r="AW35" s="92" t="e">
        <f t="shared" si="34"/>
        <v>#DIV/0!</v>
      </c>
    </row>
    <row r="36" spans="2:49">
      <c r="B36" s="176"/>
      <c r="C36" s="185"/>
      <c r="D36" s="179">
        <v>11.5</v>
      </c>
      <c r="E36" s="501">
        <f>C36*(D36/100)</f>
        <v>0</v>
      </c>
      <c r="F36" s="494">
        <f t="shared" si="31"/>
        <v>0</v>
      </c>
      <c r="G36" s="179"/>
      <c r="H36" s="179"/>
      <c r="I36" s="179"/>
      <c r="J36" s="179"/>
      <c r="K36" s="179"/>
      <c r="L36" s="179"/>
      <c r="M36" s="179"/>
      <c r="N36" s="179"/>
      <c r="O36" s="179"/>
      <c r="P36" s="179"/>
      <c r="AB36" s="70" t="e">
        <f t="shared" si="32"/>
        <v>#DIV/0!</v>
      </c>
      <c r="AC36" s="70" t="e">
        <f t="shared" si="29"/>
        <v>#DIV/0!</v>
      </c>
      <c r="AD36" s="70" t="e">
        <f t="shared" si="29"/>
        <v>#DIV/0!</v>
      </c>
      <c r="AE36" s="70" t="e">
        <f t="shared" si="29"/>
        <v>#DIV/0!</v>
      </c>
      <c r="AF36" s="70" t="e">
        <f t="shared" si="29"/>
        <v>#DIV/0!</v>
      </c>
      <c r="AG36" s="70" t="e">
        <f t="shared" si="29"/>
        <v>#DIV/0!</v>
      </c>
      <c r="AH36" s="70" t="e">
        <f t="shared" si="29"/>
        <v>#DIV/0!</v>
      </c>
      <c r="AI36" s="70" t="e">
        <f t="shared" si="29"/>
        <v>#DIV/0!</v>
      </c>
      <c r="AJ36" s="70" t="e">
        <f t="shared" si="29"/>
        <v>#DIV/0!</v>
      </c>
      <c r="AK36" s="70" t="e">
        <f t="shared" si="29"/>
        <v>#DIV/0!</v>
      </c>
      <c r="AM36" s="613" t="e">
        <f t="shared" si="33"/>
        <v>#DIV/0!</v>
      </c>
      <c r="AN36" s="613" t="e">
        <f t="shared" si="30"/>
        <v>#DIV/0!</v>
      </c>
      <c r="AO36" s="613" t="e">
        <f t="shared" si="30"/>
        <v>#DIV/0!</v>
      </c>
      <c r="AP36" s="613" t="e">
        <f t="shared" si="30"/>
        <v>#DIV/0!</v>
      </c>
      <c r="AQ36" s="613" t="e">
        <f t="shared" si="30"/>
        <v>#DIV/0!</v>
      </c>
      <c r="AR36" s="613" t="e">
        <f t="shared" si="30"/>
        <v>#DIV/0!</v>
      </c>
      <c r="AS36" s="613" t="e">
        <f t="shared" si="30"/>
        <v>#DIV/0!</v>
      </c>
      <c r="AT36" s="613" t="e">
        <f t="shared" si="30"/>
        <v>#DIV/0!</v>
      </c>
      <c r="AU36" s="613" t="e">
        <f t="shared" si="30"/>
        <v>#DIV/0!</v>
      </c>
      <c r="AV36" s="613" t="e">
        <f t="shared" si="30"/>
        <v>#DIV/0!</v>
      </c>
      <c r="AW36" s="92" t="e">
        <f t="shared" si="34"/>
        <v>#DIV/0!</v>
      </c>
    </row>
    <row r="37" spans="2:49">
      <c r="B37" s="176"/>
      <c r="C37" s="185"/>
      <c r="D37" s="179">
        <v>11.5</v>
      </c>
      <c r="E37" s="501">
        <f>C37*(D37/100)</f>
        <v>0</v>
      </c>
      <c r="F37" s="494">
        <f t="shared" si="31"/>
        <v>0</v>
      </c>
      <c r="G37" s="179"/>
      <c r="H37" s="179"/>
      <c r="I37" s="179"/>
      <c r="J37" s="179"/>
      <c r="K37" s="179"/>
      <c r="L37" s="179"/>
      <c r="M37" s="179"/>
      <c r="N37" s="179"/>
      <c r="O37" s="179"/>
      <c r="P37" s="179"/>
      <c r="AB37" s="70" t="e">
        <f t="shared" si="32"/>
        <v>#DIV/0!</v>
      </c>
      <c r="AC37" s="70" t="e">
        <f t="shared" si="29"/>
        <v>#DIV/0!</v>
      </c>
      <c r="AD37" s="70" t="e">
        <f t="shared" si="29"/>
        <v>#DIV/0!</v>
      </c>
      <c r="AE37" s="70" t="e">
        <f t="shared" si="29"/>
        <v>#DIV/0!</v>
      </c>
      <c r="AF37" s="70" t="e">
        <f t="shared" si="29"/>
        <v>#DIV/0!</v>
      </c>
      <c r="AG37" s="70" t="e">
        <f t="shared" si="29"/>
        <v>#DIV/0!</v>
      </c>
      <c r="AH37" s="70" t="e">
        <f t="shared" si="29"/>
        <v>#DIV/0!</v>
      </c>
      <c r="AI37" s="70" t="e">
        <f t="shared" si="29"/>
        <v>#DIV/0!</v>
      </c>
      <c r="AJ37" s="70" t="e">
        <f t="shared" si="29"/>
        <v>#DIV/0!</v>
      </c>
      <c r="AK37" s="70" t="e">
        <f t="shared" si="29"/>
        <v>#DIV/0!</v>
      </c>
      <c r="AM37" s="613" t="e">
        <f t="shared" si="33"/>
        <v>#DIV/0!</v>
      </c>
      <c r="AN37" s="613" t="e">
        <f t="shared" si="30"/>
        <v>#DIV/0!</v>
      </c>
      <c r="AO37" s="613" t="e">
        <f t="shared" si="30"/>
        <v>#DIV/0!</v>
      </c>
      <c r="AP37" s="613" t="e">
        <f t="shared" si="30"/>
        <v>#DIV/0!</v>
      </c>
      <c r="AQ37" s="613" t="e">
        <f t="shared" si="30"/>
        <v>#DIV/0!</v>
      </c>
      <c r="AR37" s="613" t="e">
        <f t="shared" si="30"/>
        <v>#DIV/0!</v>
      </c>
      <c r="AS37" s="613" t="e">
        <f t="shared" si="30"/>
        <v>#DIV/0!</v>
      </c>
      <c r="AT37" s="613" t="e">
        <f t="shared" si="30"/>
        <v>#DIV/0!</v>
      </c>
      <c r="AU37" s="613" t="e">
        <f t="shared" si="30"/>
        <v>#DIV/0!</v>
      </c>
      <c r="AV37" s="613" t="e">
        <f t="shared" si="30"/>
        <v>#DIV/0!</v>
      </c>
      <c r="AW37" s="92" t="e">
        <f t="shared" si="34"/>
        <v>#DIV/0!</v>
      </c>
    </row>
    <row r="38" spans="2:49">
      <c r="B38" s="176"/>
      <c r="C38" s="185"/>
      <c r="D38" s="179">
        <v>11.5</v>
      </c>
      <c r="E38" s="501">
        <f>C38*(D38/100)</f>
        <v>0</v>
      </c>
      <c r="F38" s="494">
        <f t="shared" si="31"/>
        <v>0</v>
      </c>
      <c r="G38" s="179"/>
      <c r="H38" s="179"/>
      <c r="I38" s="179"/>
      <c r="J38" s="179"/>
      <c r="K38" s="179"/>
      <c r="L38" s="179"/>
      <c r="M38" s="179"/>
      <c r="N38" s="179"/>
      <c r="O38" s="179"/>
      <c r="P38" s="179"/>
      <c r="AB38" s="70" t="e">
        <f t="shared" si="32"/>
        <v>#DIV/0!</v>
      </c>
      <c r="AC38" s="70" t="e">
        <f t="shared" si="29"/>
        <v>#DIV/0!</v>
      </c>
      <c r="AD38" s="70" t="e">
        <f t="shared" si="29"/>
        <v>#DIV/0!</v>
      </c>
      <c r="AE38" s="70" t="e">
        <f t="shared" si="29"/>
        <v>#DIV/0!</v>
      </c>
      <c r="AF38" s="70" t="e">
        <f t="shared" si="29"/>
        <v>#DIV/0!</v>
      </c>
      <c r="AG38" s="70" t="e">
        <f t="shared" si="29"/>
        <v>#DIV/0!</v>
      </c>
      <c r="AH38" s="70" t="e">
        <f t="shared" si="29"/>
        <v>#DIV/0!</v>
      </c>
      <c r="AI38" s="70" t="e">
        <f t="shared" si="29"/>
        <v>#DIV/0!</v>
      </c>
      <c r="AJ38" s="70" t="e">
        <f t="shared" si="29"/>
        <v>#DIV/0!</v>
      </c>
      <c r="AK38" s="70" t="e">
        <f t="shared" si="29"/>
        <v>#DIV/0!</v>
      </c>
      <c r="AM38" s="613" t="e">
        <f t="shared" si="33"/>
        <v>#DIV/0!</v>
      </c>
      <c r="AN38" s="613" t="e">
        <f t="shared" si="30"/>
        <v>#DIV/0!</v>
      </c>
      <c r="AO38" s="613" t="e">
        <f t="shared" si="30"/>
        <v>#DIV/0!</v>
      </c>
      <c r="AP38" s="613" t="e">
        <f t="shared" si="30"/>
        <v>#DIV/0!</v>
      </c>
      <c r="AQ38" s="613" t="e">
        <f t="shared" si="30"/>
        <v>#DIV/0!</v>
      </c>
      <c r="AR38" s="613" t="e">
        <f t="shared" si="30"/>
        <v>#DIV/0!</v>
      </c>
      <c r="AS38" s="613" t="e">
        <f t="shared" si="30"/>
        <v>#DIV/0!</v>
      </c>
      <c r="AT38" s="613" t="e">
        <f t="shared" si="30"/>
        <v>#DIV/0!</v>
      </c>
      <c r="AU38" s="613" t="e">
        <f t="shared" si="30"/>
        <v>#DIV/0!</v>
      </c>
      <c r="AV38" s="613" t="e">
        <f t="shared" si="30"/>
        <v>#DIV/0!</v>
      </c>
      <c r="AW38" s="92" t="e">
        <f t="shared" si="34"/>
        <v>#DIV/0!</v>
      </c>
    </row>
    <row r="39" spans="2:49">
      <c r="B39" s="176"/>
      <c r="C39" s="185"/>
      <c r="D39" s="179">
        <v>11.5</v>
      </c>
      <c r="E39" s="501">
        <f>C39*(D39/100)</f>
        <v>0</v>
      </c>
      <c r="F39" s="494">
        <f t="shared" si="31"/>
        <v>100</v>
      </c>
      <c r="G39" s="179">
        <v>100</v>
      </c>
      <c r="H39" s="179"/>
      <c r="I39" s="179"/>
      <c r="J39" s="179"/>
      <c r="K39" s="179"/>
      <c r="L39" s="179"/>
      <c r="M39" s="179"/>
      <c r="N39" s="179"/>
      <c r="O39" s="179"/>
      <c r="P39" s="179"/>
      <c r="AB39" s="70">
        <f t="shared" si="32"/>
        <v>1</v>
      </c>
      <c r="AC39" s="70">
        <f t="shared" si="29"/>
        <v>0</v>
      </c>
      <c r="AD39" s="70">
        <f t="shared" si="29"/>
        <v>0</v>
      </c>
      <c r="AE39" s="70">
        <f t="shared" si="29"/>
        <v>0</v>
      </c>
      <c r="AF39" s="70">
        <f t="shared" si="29"/>
        <v>0</v>
      </c>
      <c r="AG39" s="70">
        <f t="shared" si="29"/>
        <v>0</v>
      </c>
      <c r="AH39" s="70">
        <f t="shared" si="29"/>
        <v>0</v>
      </c>
      <c r="AI39" s="70">
        <f t="shared" si="29"/>
        <v>0</v>
      </c>
      <c r="AJ39" s="70">
        <f t="shared" si="29"/>
        <v>0</v>
      </c>
      <c r="AK39" s="70">
        <f t="shared" si="29"/>
        <v>0</v>
      </c>
      <c r="AM39" s="613">
        <f t="shared" si="33"/>
        <v>0</v>
      </c>
      <c r="AN39" s="613">
        <f t="shared" si="30"/>
        <v>0</v>
      </c>
      <c r="AO39" s="613">
        <f t="shared" si="30"/>
        <v>0</v>
      </c>
      <c r="AP39" s="613">
        <f t="shared" si="30"/>
        <v>0</v>
      </c>
      <c r="AQ39" s="613">
        <f t="shared" si="30"/>
        <v>0</v>
      </c>
      <c r="AR39" s="613">
        <f t="shared" si="30"/>
        <v>0</v>
      </c>
      <c r="AS39" s="613">
        <f t="shared" si="30"/>
        <v>0</v>
      </c>
      <c r="AT39" s="613">
        <f t="shared" si="30"/>
        <v>0</v>
      </c>
      <c r="AU39" s="613">
        <f t="shared" si="30"/>
        <v>0</v>
      </c>
      <c r="AV39" s="613">
        <f t="shared" si="30"/>
        <v>0</v>
      </c>
      <c r="AW39" s="92">
        <f t="shared" si="34"/>
        <v>0</v>
      </c>
    </row>
    <row r="40" spans="2:49">
      <c r="B40" s="176"/>
      <c r="C40" s="185"/>
      <c r="D40" s="179">
        <v>11.5</v>
      </c>
      <c r="E40" s="501">
        <f>C40*(D40/100)</f>
        <v>0</v>
      </c>
      <c r="F40" s="494">
        <f t="shared" si="31"/>
        <v>100</v>
      </c>
      <c r="G40" s="179">
        <v>100</v>
      </c>
      <c r="H40" s="179"/>
      <c r="I40" s="179"/>
      <c r="J40" s="179"/>
      <c r="K40" s="179"/>
      <c r="L40" s="179"/>
      <c r="M40" s="179"/>
      <c r="N40" s="179"/>
      <c r="O40" s="179"/>
      <c r="P40" s="179"/>
      <c r="AB40" s="70">
        <f t="shared" si="32"/>
        <v>1</v>
      </c>
      <c r="AC40" s="70">
        <f t="shared" si="29"/>
        <v>0</v>
      </c>
      <c r="AD40" s="70">
        <f t="shared" si="29"/>
        <v>0</v>
      </c>
      <c r="AE40" s="70">
        <f t="shared" si="29"/>
        <v>0</v>
      </c>
      <c r="AF40" s="70">
        <f t="shared" si="29"/>
        <v>0</v>
      </c>
      <c r="AG40" s="70">
        <f t="shared" si="29"/>
        <v>0</v>
      </c>
      <c r="AH40" s="70">
        <f t="shared" si="29"/>
        <v>0</v>
      </c>
      <c r="AI40" s="70">
        <f t="shared" si="29"/>
        <v>0</v>
      </c>
      <c r="AJ40" s="70">
        <f t="shared" si="29"/>
        <v>0</v>
      </c>
      <c r="AK40" s="70">
        <f t="shared" si="29"/>
        <v>0</v>
      </c>
      <c r="AM40" s="613">
        <f t="shared" si="33"/>
        <v>0</v>
      </c>
      <c r="AN40" s="613">
        <f t="shared" si="30"/>
        <v>0</v>
      </c>
      <c r="AO40" s="613">
        <f t="shared" si="30"/>
        <v>0</v>
      </c>
      <c r="AP40" s="613">
        <f t="shared" si="30"/>
        <v>0</v>
      </c>
      <c r="AQ40" s="613">
        <f t="shared" si="30"/>
        <v>0</v>
      </c>
      <c r="AR40" s="613">
        <f t="shared" si="30"/>
        <v>0</v>
      </c>
      <c r="AS40" s="613">
        <f t="shared" si="30"/>
        <v>0</v>
      </c>
      <c r="AT40" s="613">
        <f t="shared" si="30"/>
        <v>0</v>
      </c>
      <c r="AU40" s="613">
        <f t="shared" si="30"/>
        <v>0</v>
      </c>
      <c r="AV40" s="613">
        <f t="shared" si="30"/>
        <v>0</v>
      </c>
      <c r="AW40" s="92">
        <f t="shared" si="34"/>
        <v>0</v>
      </c>
    </row>
    <row r="41" spans="2:49">
      <c r="B41" s="176"/>
      <c r="C41" s="185"/>
      <c r="D41" s="179">
        <v>11.5</v>
      </c>
      <c r="E41" s="501">
        <f t="shared" si="28"/>
        <v>0</v>
      </c>
      <c r="F41" s="494">
        <f t="shared" si="31"/>
        <v>100</v>
      </c>
      <c r="G41" s="179">
        <v>100</v>
      </c>
      <c r="H41" s="179"/>
      <c r="I41" s="179"/>
      <c r="J41" s="179"/>
      <c r="K41" s="179"/>
      <c r="L41" s="179"/>
      <c r="M41" s="179"/>
      <c r="N41" s="179"/>
      <c r="O41" s="179"/>
      <c r="P41" s="179"/>
      <c r="AB41" s="70">
        <f t="shared" si="32"/>
        <v>1</v>
      </c>
      <c r="AC41" s="70">
        <f t="shared" si="29"/>
        <v>0</v>
      </c>
      <c r="AD41" s="70">
        <f t="shared" si="29"/>
        <v>0</v>
      </c>
      <c r="AE41" s="70">
        <f t="shared" si="29"/>
        <v>0</v>
      </c>
      <c r="AF41" s="70">
        <f t="shared" si="29"/>
        <v>0</v>
      </c>
      <c r="AG41" s="70">
        <f t="shared" si="29"/>
        <v>0</v>
      </c>
      <c r="AH41" s="70">
        <f t="shared" si="29"/>
        <v>0</v>
      </c>
      <c r="AI41" s="70">
        <f t="shared" si="29"/>
        <v>0</v>
      </c>
      <c r="AJ41" s="70">
        <f t="shared" si="29"/>
        <v>0</v>
      </c>
      <c r="AK41" s="70">
        <f t="shared" si="29"/>
        <v>0</v>
      </c>
      <c r="AM41" s="613">
        <f t="shared" si="33"/>
        <v>0</v>
      </c>
      <c r="AN41" s="613">
        <f t="shared" si="30"/>
        <v>0</v>
      </c>
      <c r="AO41" s="613">
        <f t="shared" si="30"/>
        <v>0</v>
      </c>
      <c r="AP41" s="613">
        <f t="shared" si="30"/>
        <v>0</v>
      </c>
      <c r="AQ41" s="613">
        <f t="shared" si="30"/>
        <v>0</v>
      </c>
      <c r="AR41" s="613">
        <f t="shared" si="30"/>
        <v>0</v>
      </c>
      <c r="AS41" s="613">
        <f t="shared" si="30"/>
        <v>0</v>
      </c>
      <c r="AT41" s="613">
        <f t="shared" si="30"/>
        <v>0</v>
      </c>
      <c r="AU41" s="613">
        <f t="shared" si="30"/>
        <v>0</v>
      </c>
      <c r="AV41" s="613">
        <f t="shared" si="30"/>
        <v>0</v>
      </c>
      <c r="AW41" s="92">
        <f t="shared" si="34"/>
        <v>0</v>
      </c>
    </row>
    <row r="42" spans="2:49">
      <c r="B42" s="176"/>
      <c r="C42" s="185"/>
      <c r="D42" s="179">
        <v>11.5</v>
      </c>
      <c r="E42" s="501">
        <f t="shared" si="28"/>
        <v>0</v>
      </c>
      <c r="F42" s="494">
        <f t="shared" si="31"/>
        <v>100</v>
      </c>
      <c r="G42" s="179">
        <v>100</v>
      </c>
      <c r="H42" s="179"/>
      <c r="I42" s="179"/>
      <c r="J42" s="179"/>
      <c r="K42" s="179"/>
      <c r="L42" s="179"/>
      <c r="M42" s="179"/>
      <c r="N42" s="179"/>
      <c r="O42" s="179"/>
      <c r="P42" s="179"/>
      <c r="AB42" s="70">
        <f t="shared" si="32"/>
        <v>1</v>
      </c>
      <c r="AC42" s="70">
        <f t="shared" si="29"/>
        <v>0</v>
      </c>
      <c r="AD42" s="70">
        <f t="shared" si="29"/>
        <v>0</v>
      </c>
      <c r="AE42" s="70">
        <f t="shared" si="29"/>
        <v>0</v>
      </c>
      <c r="AF42" s="70">
        <f t="shared" si="29"/>
        <v>0</v>
      </c>
      <c r="AG42" s="70">
        <f t="shared" si="29"/>
        <v>0</v>
      </c>
      <c r="AH42" s="70">
        <f t="shared" si="29"/>
        <v>0</v>
      </c>
      <c r="AI42" s="70">
        <f t="shared" si="29"/>
        <v>0</v>
      </c>
      <c r="AJ42" s="70">
        <f t="shared" si="29"/>
        <v>0</v>
      </c>
      <c r="AK42" s="70">
        <f t="shared" si="29"/>
        <v>0</v>
      </c>
      <c r="AM42" s="613">
        <f t="shared" si="33"/>
        <v>0</v>
      </c>
      <c r="AN42" s="613">
        <f t="shared" si="30"/>
        <v>0</v>
      </c>
      <c r="AO42" s="613">
        <f t="shared" si="30"/>
        <v>0</v>
      </c>
      <c r="AP42" s="613">
        <f t="shared" si="30"/>
        <v>0</v>
      </c>
      <c r="AQ42" s="613">
        <f t="shared" si="30"/>
        <v>0</v>
      </c>
      <c r="AR42" s="613">
        <f t="shared" si="30"/>
        <v>0</v>
      </c>
      <c r="AS42" s="613">
        <f t="shared" si="30"/>
        <v>0</v>
      </c>
      <c r="AT42" s="613">
        <f t="shared" si="30"/>
        <v>0</v>
      </c>
      <c r="AU42" s="613">
        <f t="shared" si="30"/>
        <v>0</v>
      </c>
      <c r="AV42" s="613">
        <f t="shared" si="30"/>
        <v>0</v>
      </c>
      <c r="AW42" s="92">
        <f t="shared" si="34"/>
        <v>0</v>
      </c>
    </row>
    <row r="43" spans="2:49">
      <c r="B43" s="176"/>
      <c r="C43" s="185"/>
      <c r="D43" s="179">
        <v>11.5</v>
      </c>
      <c r="E43" s="501">
        <f t="shared" si="28"/>
        <v>0</v>
      </c>
      <c r="F43" s="494">
        <f t="shared" si="31"/>
        <v>100</v>
      </c>
      <c r="G43" s="179">
        <v>100</v>
      </c>
      <c r="H43" s="179"/>
      <c r="I43" s="179"/>
      <c r="J43" s="179"/>
      <c r="K43" s="179"/>
      <c r="L43" s="179"/>
      <c r="M43" s="179"/>
      <c r="N43" s="179"/>
      <c r="O43" s="179"/>
      <c r="P43" s="179"/>
      <c r="AB43" s="70">
        <f t="shared" si="32"/>
        <v>1</v>
      </c>
      <c r="AC43" s="70">
        <f t="shared" si="29"/>
        <v>0</v>
      </c>
      <c r="AD43" s="70">
        <f t="shared" si="29"/>
        <v>0</v>
      </c>
      <c r="AE43" s="70">
        <f t="shared" si="29"/>
        <v>0</v>
      </c>
      <c r="AF43" s="70">
        <f t="shared" si="29"/>
        <v>0</v>
      </c>
      <c r="AG43" s="70">
        <f t="shared" si="29"/>
        <v>0</v>
      </c>
      <c r="AH43" s="70">
        <f t="shared" si="29"/>
        <v>0</v>
      </c>
      <c r="AI43" s="70">
        <f t="shared" si="29"/>
        <v>0</v>
      </c>
      <c r="AJ43" s="70">
        <f t="shared" si="29"/>
        <v>0</v>
      </c>
      <c r="AK43" s="70">
        <f t="shared" si="29"/>
        <v>0</v>
      </c>
      <c r="AM43" s="613">
        <f t="shared" si="33"/>
        <v>0</v>
      </c>
      <c r="AN43" s="613">
        <f t="shared" si="30"/>
        <v>0</v>
      </c>
      <c r="AO43" s="613">
        <f t="shared" si="30"/>
        <v>0</v>
      </c>
      <c r="AP43" s="613">
        <f t="shared" si="30"/>
        <v>0</v>
      </c>
      <c r="AQ43" s="613">
        <f t="shared" si="30"/>
        <v>0</v>
      </c>
      <c r="AR43" s="613">
        <f t="shared" si="30"/>
        <v>0</v>
      </c>
      <c r="AS43" s="613">
        <f t="shared" si="30"/>
        <v>0</v>
      </c>
      <c r="AT43" s="613">
        <f t="shared" si="30"/>
        <v>0</v>
      </c>
      <c r="AU43" s="613">
        <f t="shared" si="30"/>
        <v>0</v>
      </c>
      <c r="AV43" s="613">
        <f t="shared" si="30"/>
        <v>0</v>
      </c>
      <c r="AW43" s="92">
        <f t="shared" si="34"/>
        <v>0</v>
      </c>
    </row>
    <row r="44" spans="2:49">
      <c r="B44" s="176"/>
      <c r="C44" s="186"/>
      <c r="D44" s="179">
        <v>11.5</v>
      </c>
      <c r="E44" s="501">
        <f t="shared" si="28"/>
        <v>0</v>
      </c>
      <c r="F44" s="494">
        <f t="shared" si="31"/>
        <v>100</v>
      </c>
      <c r="G44" s="179">
        <v>100</v>
      </c>
      <c r="H44" s="179"/>
      <c r="I44" s="179"/>
      <c r="J44" s="179"/>
      <c r="K44" s="179"/>
      <c r="L44" s="179"/>
      <c r="M44" s="179"/>
      <c r="N44" s="179"/>
      <c r="O44" s="179"/>
      <c r="P44" s="179"/>
      <c r="AB44" s="70">
        <f t="shared" si="32"/>
        <v>1</v>
      </c>
      <c r="AC44" s="70">
        <f t="shared" si="29"/>
        <v>0</v>
      </c>
      <c r="AD44" s="70">
        <f t="shared" si="29"/>
        <v>0</v>
      </c>
      <c r="AE44" s="70">
        <f t="shared" si="29"/>
        <v>0</v>
      </c>
      <c r="AF44" s="70">
        <f t="shared" si="29"/>
        <v>0</v>
      </c>
      <c r="AG44" s="70">
        <f t="shared" si="29"/>
        <v>0</v>
      </c>
      <c r="AH44" s="70">
        <f t="shared" si="29"/>
        <v>0</v>
      </c>
      <c r="AI44" s="70">
        <f t="shared" si="29"/>
        <v>0</v>
      </c>
      <c r="AJ44" s="70">
        <f t="shared" si="29"/>
        <v>0</v>
      </c>
      <c r="AK44" s="70">
        <f t="shared" si="29"/>
        <v>0</v>
      </c>
      <c r="AM44" s="613">
        <f t="shared" si="33"/>
        <v>0</v>
      </c>
      <c r="AN44" s="613">
        <f t="shared" si="30"/>
        <v>0</v>
      </c>
      <c r="AO44" s="613">
        <f t="shared" si="30"/>
        <v>0</v>
      </c>
      <c r="AP44" s="613">
        <f t="shared" si="30"/>
        <v>0</v>
      </c>
      <c r="AQ44" s="613">
        <f t="shared" si="30"/>
        <v>0</v>
      </c>
      <c r="AR44" s="613">
        <f t="shared" si="30"/>
        <v>0</v>
      </c>
      <c r="AS44" s="613">
        <f t="shared" si="30"/>
        <v>0</v>
      </c>
      <c r="AT44" s="613">
        <f t="shared" si="30"/>
        <v>0</v>
      </c>
      <c r="AU44" s="613">
        <f t="shared" si="30"/>
        <v>0</v>
      </c>
      <c r="AV44" s="613">
        <f t="shared" si="30"/>
        <v>0</v>
      </c>
      <c r="AW44" s="92">
        <f t="shared" si="34"/>
        <v>0</v>
      </c>
    </row>
    <row r="45" spans="2:49">
      <c r="B45" s="176"/>
      <c r="C45" s="186"/>
      <c r="D45" s="179">
        <v>11.5</v>
      </c>
      <c r="E45" s="501">
        <f t="shared" si="28"/>
        <v>0</v>
      </c>
      <c r="F45" s="494">
        <f t="shared" si="31"/>
        <v>100</v>
      </c>
      <c r="G45" s="179">
        <v>100</v>
      </c>
      <c r="H45" s="179"/>
      <c r="I45" s="179"/>
      <c r="J45" s="179"/>
      <c r="K45" s="179"/>
      <c r="L45" s="179"/>
      <c r="M45" s="179"/>
      <c r="N45" s="179"/>
      <c r="O45" s="179"/>
      <c r="P45" s="179"/>
      <c r="AB45" s="70">
        <f t="shared" si="32"/>
        <v>1</v>
      </c>
      <c r="AC45" s="70">
        <f t="shared" si="29"/>
        <v>0</v>
      </c>
      <c r="AD45" s="70">
        <f t="shared" si="29"/>
        <v>0</v>
      </c>
      <c r="AE45" s="70">
        <f t="shared" si="29"/>
        <v>0</v>
      </c>
      <c r="AF45" s="70">
        <f t="shared" si="29"/>
        <v>0</v>
      </c>
      <c r="AG45" s="70">
        <f t="shared" si="29"/>
        <v>0</v>
      </c>
      <c r="AH45" s="70">
        <f t="shared" si="29"/>
        <v>0</v>
      </c>
      <c r="AI45" s="70">
        <f t="shared" si="29"/>
        <v>0</v>
      </c>
      <c r="AJ45" s="70">
        <f t="shared" si="29"/>
        <v>0</v>
      </c>
      <c r="AK45" s="70">
        <f t="shared" si="29"/>
        <v>0</v>
      </c>
      <c r="AM45" s="613">
        <f t="shared" si="33"/>
        <v>0</v>
      </c>
      <c r="AN45" s="613">
        <f t="shared" si="30"/>
        <v>0</v>
      </c>
      <c r="AO45" s="613">
        <f t="shared" si="30"/>
        <v>0</v>
      </c>
      <c r="AP45" s="613">
        <f t="shared" si="30"/>
        <v>0</v>
      </c>
      <c r="AQ45" s="613">
        <f t="shared" si="30"/>
        <v>0</v>
      </c>
      <c r="AR45" s="613">
        <f t="shared" si="30"/>
        <v>0</v>
      </c>
      <c r="AS45" s="613">
        <f t="shared" si="30"/>
        <v>0</v>
      </c>
      <c r="AT45" s="613">
        <f t="shared" si="30"/>
        <v>0</v>
      </c>
      <c r="AU45" s="613">
        <f t="shared" si="30"/>
        <v>0</v>
      </c>
      <c r="AV45" s="613">
        <f t="shared" si="30"/>
        <v>0</v>
      </c>
      <c r="AW45" s="92">
        <f t="shared" si="34"/>
        <v>0</v>
      </c>
    </row>
    <row r="46" spans="2:49">
      <c r="B46" s="176"/>
      <c r="C46" s="186"/>
      <c r="D46" s="179">
        <v>11.5</v>
      </c>
      <c r="E46" s="501">
        <f t="shared" si="28"/>
        <v>0</v>
      </c>
      <c r="F46" s="494">
        <f t="shared" si="31"/>
        <v>100</v>
      </c>
      <c r="G46" s="179">
        <v>100</v>
      </c>
      <c r="H46" s="179"/>
      <c r="I46" s="179"/>
      <c r="J46" s="179"/>
      <c r="K46" s="179"/>
      <c r="L46" s="179"/>
      <c r="M46" s="179"/>
      <c r="N46" s="179"/>
      <c r="O46" s="179"/>
      <c r="P46" s="179"/>
      <c r="AB46" s="70">
        <f t="shared" si="32"/>
        <v>1</v>
      </c>
      <c r="AC46" s="70">
        <f t="shared" si="29"/>
        <v>0</v>
      </c>
      <c r="AD46" s="70">
        <f t="shared" si="29"/>
        <v>0</v>
      </c>
      <c r="AE46" s="70">
        <f t="shared" si="29"/>
        <v>0</v>
      </c>
      <c r="AF46" s="70">
        <f t="shared" si="29"/>
        <v>0</v>
      </c>
      <c r="AG46" s="70">
        <f t="shared" si="29"/>
        <v>0</v>
      </c>
      <c r="AH46" s="70">
        <f t="shared" si="29"/>
        <v>0</v>
      </c>
      <c r="AI46" s="70">
        <f t="shared" si="29"/>
        <v>0</v>
      </c>
      <c r="AJ46" s="70">
        <f t="shared" si="29"/>
        <v>0</v>
      </c>
      <c r="AK46" s="70">
        <f t="shared" si="29"/>
        <v>0</v>
      </c>
      <c r="AM46" s="613">
        <f t="shared" si="33"/>
        <v>0</v>
      </c>
      <c r="AN46" s="613">
        <f t="shared" si="30"/>
        <v>0</v>
      </c>
      <c r="AO46" s="613">
        <f t="shared" si="30"/>
        <v>0</v>
      </c>
      <c r="AP46" s="613">
        <f t="shared" si="30"/>
        <v>0</v>
      </c>
      <c r="AQ46" s="613">
        <f t="shared" si="30"/>
        <v>0</v>
      </c>
      <c r="AR46" s="613">
        <f t="shared" si="30"/>
        <v>0</v>
      </c>
      <c r="AS46" s="613">
        <f t="shared" si="30"/>
        <v>0</v>
      </c>
      <c r="AT46" s="613">
        <f t="shared" si="30"/>
        <v>0</v>
      </c>
      <c r="AU46" s="613">
        <f t="shared" si="30"/>
        <v>0</v>
      </c>
      <c r="AV46" s="613">
        <f t="shared" si="30"/>
        <v>0</v>
      </c>
      <c r="AW46" s="92">
        <f t="shared" si="34"/>
        <v>0</v>
      </c>
    </row>
    <row r="47" spans="2:49">
      <c r="B47" s="176"/>
      <c r="C47" s="186"/>
      <c r="D47" s="179">
        <v>11.5</v>
      </c>
      <c r="E47" s="501">
        <f t="shared" si="28"/>
        <v>0</v>
      </c>
      <c r="F47" s="494">
        <f t="shared" si="31"/>
        <v>100</v>
      </c>
      <c r="G47" s="179">
        <v>100</v>
      </c>
      <c r="I47" s="179"/>
      <c r="J47" s="179"/>
      <c r="K47" s="179"/>
      <c r="L47" s="179"/>
      <c r="M47" s="179"/>
      <c r="N47" s="179"/>
      <c r="O47" s="179"/>
      <c r="P47" s="179"/>
      <c r="AB47" s="70">
        <f t="shared" si="32"/>
        <v>1</v>
      </c>
      <c r="AC47" s="70">
        <f t="shared" si="29"/>
        <v>0</v>
      </c>
      <c r="AD47" s="70">
        <f t="shared" si="29"/>
        <v>0</v>
      </c>
      <c r="AE47" s="70">
        <f t="shared" si="29"/>
        <v>0</v>
      </c>
      <c r="AF47" s="70">
        <f t="shared" si="29"/>
        <v>0</v>
      </c>
      <c r="AG47" s="70">
        <f t="shared" si="29"/>
        <v>0</v>
      </c>
      <c r="AH47" s="70">
        <f t="shared" si="29"/>
        <v>0</v>
      </c>
      <c r="AI47" s="70">
        <f t="shared" si="29"/>
        <v>0</v>
      </c>
      <c r="AJ47" s="70">
        <f t="shared" si="29"/>
        <v>0</v>
      </c>
      <c r="AK47" s="70">
        <f t="shared" si="29"/>
        <v>0</v>
      </c>
      <c r="AM47" s="613">
        <f t="shared" si="33"/>
        <v>0</v>
      </c>
      <c r="AN47" s="613">
        <f t="shared" si="30"/>
        <v>0</v>
      </c>
      <c r="AO47" s="613">
        <f t="shared" si="30"/>
        <v>0</v>
      </c>
      <c r="AP47" s="613">
        <f t="shared" si="30"/>
        <v>0</v>
      </c>
      <c r="AQ47" s="613">
        <f t="shared" si="30"/>
        <v>0</v>
      </c>
      <c r="AR47" s="613">
        <f t="shared" si="30"/>
        <v>0</v>
      </c>
      <c r="AS47" s="613">
        <f t="shared" si="30"/>
        <v>0</v>
      </c>
      <c r="AT47" s="613">
        <f t="shared" si="30"/>
        <v>0</v>
      </c>
      <c r="AU47" s="613">
        <f t="shared" si="30"/>
        <v>0</v>
      </c>
      <c r="AV47" s="613">
        <f t="shared" si="30"/>
        <v>0</v>
      </c>
      <c r="AW47" s="92">
        <f t="shared" si="34"/>
        <v>0</v>
      </c>
    </row>
    <row r="48" spans="2:49">
      <c r="B48" s="176"/>
      <c r="C48" s="186"/>
      <c r="D48" s="179">
        <v>11.5</v>
      </c>
      <c r="E48" s="501">
        <f t="shared" si="28"/>
        <v>0</v>
      </c>
      <c r="F48" s="494">
        <f t="shared" si="31"/>
        <v>100</v>
      </c>
      <c r="G48" s="179">
        <v>100</v>
      </c>
      <c r="H48" s="179"/>
      <c r="I48" s="179"/>
      <c r="J48" s="179"/>
      <c r="K48" s="179"/>
      <c r="L48" s="179"/>
      <c r="M48" s="179"/>
      <c r="N48" s="179"/>
      <c r="O48" s="179"/>
      <c r="P48" s="179"/>
      <c r="AB48" s="70">
        <f t="shared" si="32"/>
        <v>1</v>
      </c>
      <c r="AC48" s="70">
        <f t="shared" ref="AC48:AK50" si="35">H48/$F48</f>
        <v>0</v>
      </c>
      <c r="AD48" s="70">
        <f t="shared" si="35"/>
        <v>0</v>
      </c>
      <c r="AE48" s="70">
        <f t="shared" si="35"/>
        <v>0</v>
      </c>
      <c r="AF48" s="70">
        <f t="shared" si="35"/>
        <v>0</v>
      </c>
      <c r="AG48" s="70">
        <f t="shared" si="35"/>
        <v>0</v>
      </c>
      <c r="AH48" s="70">
        <f t="shared" si="35"/>
        <v>0</v>
      </c>
      <c r="AI48" s="70">
        <f t="shared" si="35"/>
        <v>0</v>
      </c>
      <c r="AJ48" s="70">
        <f t="shared" si="35"/>
        <v>0</v>
      </c>
      <c r="AK48" s="70">
        <f t="shared" si="35"/>
        <v>0</v>
      </c>
      <c r="AM48" s="613">
        <f t="shared" si="33"/>
        <v>0</v>
      </c>
      <c r="AN48" s="613">
        <f t="shared" ref="AN48:AV50" si="36">AC48*$E48</f>
        <v>0</v>
      </c>
      <c r="AO48" s="613">
        <f t="shared" si="36"/>
        <v>0</v>
      </c>
      <c r="AP48" s="613">
        <f t="shared" si="36"/>
        <v>0</v>
      </c>
      <c r="AQ48" s="613">
        <f t="shared" si="36"/>
        <v>0</v>
      </c>
      <c r="AR48" s="613">
        <f t="shared" si="36"/>
        <v>0</v>
      </c>
      <c r="AS48" s="613">
        <f t="shared" si="36"/>
        <v>0</v>
      </c>
      <c r="AT48" s="613">
        <f t="shared" si="36"/>
        <v>0</v>
      </c>
      <c r="AU48" s="613">
        <f t="shared" si="36"/>
        <v>0</v>
      </c>
      <c r="AV48" s="613">
        <f t="shared" si="36"/>
        <v>0</v>
      </c>
      <c r="AW48" s="92">
        <f t="shared" si="34"/>
        <v>0</v>
      </c>
    </row>
    <row r="49" spans="2:50">
      <c r="B49" s="176"/>
      <c r="C49" s="186"/>
      <c r="D49" s="179">
        <v>11.5</v>
      </c>
      <c r="E49" s="501">
        <f t="shared" si="28"/>
        <v>0</v>
      </c>
      <c r="F49" s="494">
        <f t="shared" si="31"/>
        <v>100</v>
      </c>
      <c r="G49" s="179">
        <v>100</v>
      </c>
      <c r="H49" s="179"/>
      <c r="I49" s="179"/>
      <c r="J49" s="179"/>
      <c r="K49" s="179"/>
      <c r="L49" s="179"/>
      <c r="M49" s="179"/>
      <c r="N49" s="179"/>
      <c r="O49" s="179"/>
      <c r="P49" s="179"/>
      <c r="Q49" s="104" t="s">
        <v>46</v>
      </c>
      <c r="AB49" s="70">
        <f t="shared" si="32"/>
        <v>1</v>
      </c>
      <c r="AC49" s="70">
        <f t="shared" si="35"/>
        <v>0</v>
      </c>
      <c r="AD49" s="70">
        <f t="shared" si="35"/>
        <v>0</v>
      </c>
      <c r="AE49" s="70">
        <f t="shared" si="35"/>
        <v>0</v>
      </c>
      <c r="AF49" s="70">
        <f t="shared" si="35"/>
        <v>0</v>
      </c>
      <c r="AG49" s="70">
        <f t="shared" si="35"/>
        <v>0</v>
      </c>
      <c r="AH49" s="70">
        <f t="shared" si="35"/>
        <v>0</v>
      </c>
      <c r="AI49" s="70">
        <f t="shared" si="35"/>
        <v>0</v>
      </c>
      <c r="AJ49" s="70">
        <f t="shared" si="35"/>
        <v>0</v>
      </c>
      <c r="AK49" s="70">
        <f t="shared" si="35"/>
        <v>0</v>
      </c>
      <c r="AM49" s="613">
        <f t="shared" si="33"/>
        <v>0</v>
      </c>
      <c r="AN49" s="613">
        <f t="shared" si="36"/>
        <v>0</v>
      </c>
      <c r="AO49" s="613">
        <f t="shared" si="36"/>
        <v>0</v>
      </c>
      <c r="AP49" s="613">
        <f t="shared" si="36"/>
        <v>0</v>
      </c>
      <c r="AQ49" s="613">
        <f t="shared" si="36"/>
        <v>0</v>
      </c>
      <c r="AR49" s="613">
        <f t="shared" si="36"/>
        <v>0</v>
      </c>
      <c r="AS49" s="613">
        <f t="shared" si="36"/>
        <v>0</v>
      </c>
      <c r="AT49" s="613">
        <f t="shared" si="36"/>
        <v>0</v>
      </c>
      <c r="AU49" s="613">
        <f t="shared" si="36"/>
        <v>0</v>
      </c>
      <c r="AV49" s="613">
        <f t="shared" si="36"/>
        <v>0</v>
      </c>
      <c r="AW49" s="92">
        <f t="shared" si="34"/>
        <v>0</v>
      </c>
    </row>
    <row r="50" spans="2:50">
      <c r="B50" s="176"/>
      <c r="C50" s="186"/>
      <c r="D50" s="179">
        <v>11.5</v>
      </c>
      <c r="E50" s="501">
        <f>C50*(D50/100)</f>
        <v>0</v>
      </c>
      <c r="F50" s="494">
        <f t="shared" si="31"/>
        <v>100</v>
      </c>
      <c r="G50" s="179">
        <v>100</v>
      </c>
      <c r="H50" s="179"/>
      <c r="I50" s="179"/>
      <c r="J50" s="179"/>
      <c r="K50" s="179"/>
      <c r="L50" s="179"/>
      <c r="M50" s="179"/>
      <c r="N50" s="179"/>
      <c r="O50" s="179"/>
      <c r="P50" s="179"/>
      <c r="Q50" s="104"/>
      <c r="AB50" s="70">
        <f t="shared" si="32"/>
        <v>1</v>
      </c>
      <c r="AC50" s="70">
        <f t="shared" si="35"/>
        <v>0</v>
      </c>
      <c r="AD50" s="70">
        <f t="shared" si="35"/>
        <v>0</v>
      </c>
      <c r="AE50" s="70">
        <f t="shared" si="35"/>
        <v>0</v>
      </c>
      <c r="AF50" s="70">
        <f t="shared" si="35"/>
        <v>0</v>
      </c>
      <c r="AG50" s="70">
        <f t="shared" si="35"/>
        <v>0</v>
      </c>
      <c r="AH50" s="70">
        <f t="shared" si="35"/>
        <v>0</v>
      </c>
      <c r="AI50" s="70">
        <f t="shared" si="35"/>
        <v>0</v>
      </c>
      <c r="AJ50" s="70">
        <f t="shared" si="35"/>
        <v>0</v>
      </c>
      <c r="AK50" s="70">
        <f t="shared" si="35"/>
        <v>0</v>
      </c>
      <c r="AM50" s="613">
        <f t="shared" si="33"/>
        <v>0</v>
      </c>
      <c r="AN50" s="613">
        <f t="shared" si="36"/>
        <v>0</v>
      </c>
      <c r="AO50" s="613">
        <f t="shared" si="36"/>
        <v>0</v>
      </c>
      <c r="AP50" s="613">
        <f t="shared" si="36"/>
        <v>0</v>
      </c>
      <c r="AQ50" s="613">
        <f t="shared" si="36"/>
        <v>0</v>
      </c>
      <c r="AR50" s="613">
        <f t="shared" si="36"/>
        <v>0</v>
      </c>
      <c r="AS50" s="613">
        <f t="shared" si="36"/>
        <v>0</v>
      </c>
      <c r="AT50" s="613">
        <f t="shared" si="36"/>
        <v>0</v>
      </c>
      <c r="AU50" s="613">
        <f t="shared" si="36"/>
        <v>0</v>
      </c>
      <c r="AV50" s="613">
        <f t="shared" si="36"/>
        <v>0</v>
      </c>
      <c r="AW50" s="504">
        <f t="shared" si="34"/>
        <v>0</v>
      </c>
    </row>
    <row r="51" spans="2:50">
      <c r="B51" s="95" t="s">
        <v>58</v>
      </c>
      <c r="C51" s="91"/>
      <c r="D51" s="88"/>
      <c r="E51" s="69">
        <f>SUM(E32:E50)</f>
        <v>0</v>
      </c>
      <c r="F51" s="65"/>
      <c r="G51" s="69" t="e">
        <f>SUM(AM32:AM50)</f>
        <v>#DIV/0!</v>
      </c>
      <c r="H51" s="69" t="e">
        <f t="shared" ref="H51:P51" si="37">SUM(AN32:AN50)</f>
        <v>#DIV/0!</v>
      </c>
      <c r="I51" s="69" t="e">
        <f t="shared" si="37"/>
        <v>#DIV/0!</v>
      </c>
      <c r="J51" s="69" t="e">
        <f t="shared" si="37"/>
        <v>#DIV/0!</v>
      </c>
      <c r="K51" s="69" t="e">
        <f t="shared" si="37"/>
        <v>#DIV/0!</v>
      </c>
      <c r="L51" s="69" t="e">
        <f t="shared" si="37"/>
        <v>#DIV/0!</v>
      </c>
      <c r="M51" s="69" t="e">
        <f t="shared" si="37"/>
        <v>#DIV/0!</v>
      </c>
      <c r="N51" s="69" t="e">
        <f t="shared" si="37"/>
        <v>#DIV/0!</v>
      </c>
      <c r="O51" s="69" t="e">
        <f t="shared" si="37"/>
        <v>#DIV/0!</v>
      </c>
      <c r="P51" s="69" t="e">
        <f t="shared" si="37"/>
        <v>#DIV/0!</v>
      </c>
      <c r="Q51" s="105" t="e">
        <f>SUM(G51:O51)</f>
        <v>#DIV/0!</v>
      </c>
      <c r="AM51" s="505" t="e">
        <f>SUM(AM32:AM50)</f>
        <v>#DIV/0!</v>
      </c>
      <c r="AN51" s="505" t="e">
        <f t="shared" ref="AN51:AW51" si="38">SUM(AN32:AN50)</f>
        <v>#DIV/0!</v>
      </c>
      <c r="AO51" s="505" t="e">
        <f t="shared" si="38"/>
        <v>#DIV/0!</v>
      </c>
      <c r="AP51" s="505" t="e">
        <f t="shared" si="38"/>
        <v>#DIV/0!</v>
      </c>
      <c r="AQ51" s="505" t="e">
        <f t="shared" si="38"/>
        <v>#DIV/0!</v>
      </c>
      <c r="AR51" s="505" t="e">
        <f t="shared" si="38"/>
        <v>#DIV/0!</v>
      </c>
      <c r="AS51" s="505" t="e">
        <f t="shared" si="38"/>
        <v>#DIV/0!</v>
      </c>
      <c r="AT51" s="505" t="e">
        <f t="shared" si="38"/>
        <v>#DIV/0!</v>
      </c>
      <c r="AU51" s="505" t="e">
        <f t="shared" si="38"/>
        <v>#DIV/0!</v>
      </c>
      <c r="AV51" s="505" t="e">
        <f t="shared" si="38"/>
        <v>#DIV/0!</v>
      </c>
      <c r="AW51" s="505" t="e">
        <f t="shared" si="38"/>
        <v>#DIV/0!</v>
      </c>
    </row>
    <row r="52" spans="2:50">
      <c r="B52" s="95"/>
      <c r="C52" s="91"/>
      <c r="D52" s="88"/>
      <c r="E52" s="69"/>
      <c r="F52" s="360"/>
      <c r="G52" s="69"/>
      <c r="H52" s="69"/>
      <c r="I52" s="69"/>
      <c r="J52" s="69"/>
      <c r="K52" s="69"/>
      <c r="L52" s="69"/>
      <c r="M52" s="69"/>
      <c r="N52" s="69"/>
      <c r="O52" s="69"/>
      <c r="Q52" s="105"/>
      <c r="AW52" s="91"/>
    </row>
    <row r="53" spans="2:50">
      <c r="B53" s="95"/>
      <c r="C53" s="91"/>
      <c r="D53" s="88"/>
      <c r="E53" s="69"/>
      <c r="F53" s="360"/>
      <c r="G53" s="69"/>
      <c r="H53" s="69"/>
      <c r="I53" s="69"/>
      <c r="J53" s="69"/>
      <c r="K53" s="69"/>
      <c r="L53" s="69"/>
      <c r="M53" s="69"/>
      <c r="N53" s="69"/>
      <c r="O53" s="69"/>
      <c r="Q53" s="105"/>
    </row>
    <row r="54" spans="2:50">
      <c r="B54" s="95"/>
      <c r="C54" s="91"/>
      <c r="D54" s="88"/>
      <c r="E54" s="69"/>
      <c r="F54" s="360"/>
      <c r="G54" s="69"/>
      <c r="H54" s="69"/>
      <c r="I54" s="69"/>
      <c r="J54" s="69"/>
      <c r="K54" s="69"/>
      <c r="L54" s="69"/>
      <c r="M54" s="69"/>
      <c r="N54" s="69"/>
      <c r="O54" s="69"/>
      <c r="Q54" s="105"/>
    </row>
    <row r="55" spans="2:50">
      <c r="B55" s="95"/>
      <c r="C55" s="91"/>
      <c r="D55" s="88"/>
      <c r="E55" s="69"/>
      <c r="F55" s="360"/>
      <c r="G55" s="69"/>
      <c r="H55" s="69"/>
      <c r="I55" s="69"/>
      <c r="J55" s="69"/>
      <c r="K55" s="69"/>
      <c r="L55" s="69"/>
      <c r="M55" s="69"/>
      <c r="N55" s="69"/>
      <c r="O55" s="69"/>
      <c r="Q55" s="105"/>
    </row>
    <row r="56" spans="2:50">
      <c r="B56" s="95"/>
      <c r="C56" s="91"/>
      <c r="D56" s="88"/>
      <c r="E56" s="69"/>
      <c r="F56" s="360"/>
      <c r="G56" s="69"/>
      <c r="H56" s="69"/>
      <c r="I56" s="69"/>
      <c r="J56" s="69"/>
      <c r="K56" s="69"/>
      <c r="L56" s="69"/>
      <c r="M56" s="69"/>
      <c r="N56" s="69"/>
      <c r="O56" s="69"/>
      <c r="Q56" s="105"/>
    </row>
    <row r="57" spans="2:50">
      <c r="B57" s="95"/>
      <c r="C57" s="91"/>
      <c r="D57" s="88"/>
      <c r="E57" s="69"/>
      <c r="F57" s="360"/>
      <c r="G57" s="69"/>
      <c r="H57" s="69"/>
      <c r="I57" s="69"/>
      <c r="J57" s="69"/>
      <c r="K57" s="69"/>
      <c r="L57" s="69"/>
      <c r="M57" s="69"/>
      <c r="N57" s="69"/>
      <c r="O57" s="69"/>
      <c r="Q57" s="105"/>
    </row>
    <row r="58" spans="2:50">
      <c r="B58" s="95"/>
      <c r="C58" s="91"/>
      <c r="D58" s="88"/>
      <c r="E58" s="69"/>
      <c r="F58" s="360"/>
      <c r="G58" s="69"/>
      <c r="H58" s="69"/>
      <c r="I58" s="69"/>
      <c r="J58" s="69"/>
      <c r="K58" s="69"/>
      <c r="L58" s="69"/>
      <c r="M58" s="69"/>
      <c r="N58" s="69"/>
      <c r="O58" s="69"/>
      <c r="Q58" s="105"/>
    </row>
    <row r="59" spans="2:50">
      <c r="B59" s="95"/>
      <c r="C59" s="91"/>
      <c r="D59" s="88"/>
      <c r="E59" s="69"/>
      <c r="F59" s="360"/>
      <c r="G59" s="69"/>
      <c r="H59" s="69"/>
      <c r="I59" s="69"/>
      <c r="J59" s="69"/>
      <c r="K59" s="69"/>
      <c r="L59" s="69"/>
      <c r="M59" s="69"/>
      <c r="N59" s="69"/>
      <c r="O59" s="69"/>
      <c r="Q59" s="105"/>
    </row>
    <row r="60" spans="2:50">
      <c r="B60" s="95"/>
      <c r="C60" s="91"/>
      <c r="D60" s="88"/>
      <c r="E60" s="69"/>
      <c r="F60" s="360"/>
      <c r="G60" s="69"/>
      <c r="H60" s="69"/>
      <c r="I60" s="69"/>
      <c r="J60" s="69"/>
      <c r="K60" s="69"/>
      <c r="L60" s="69"/>
      <c r="M60" s="69"/>
      <c r="N60" s="69"/>
      <c r="O60" s="69"/>
      <c r="Q60" s="105"/>
    </row>
    <row r="61" spans="2:50" ht="21" customHeight="1">
      <c r="B61" s="68"/>
      <c r="C61" s="68"/>
      <c r="D61" s="88"/>
      <c r="E61" s="88"/>
      <c r="F61" s="88"/>
      <c r="G61" s="88"/>
      <c r="H61" s="88"/>
      <c r="I61" s="88"/>
      <c r="J61" s="88"/>
      <c r="K61" s="88"/>
      <c r="L61" s="88"/>
      <c r="M61" s="88"/>
      <c r="N61" s="88"/>
      <c r="O61" s="68"/>
    </row>
    <row r="62" spans="2:50" ht="42.75" customHeight="1">
      <c r="D62" s="71"/>
      <c r="F62" s="71"/>
      <c r="G62" s="71"/>
      <c r="H62" s="71"/>
      <c r="I62" s="71"/>
      <c r="J62" s="71"/>
      <c r="K62" s="71"/>
      <c r="L62" s="71"/>
      <c r="M62" s="71"/>
      <c r="N62" s="71"/>
      <c r="AB62" s="502" t="s">
        <v>553</v>
      </c>
    </row>
    <row r="63" spans="2:50" ht="28">
      <c r="B63" s="63"/>
      <c r="D63" s="71"/>
      <c r="F63" s="71"/>
      <c r="G63" s="925" t="s">
        <v>157</v>
      </c>
      <c r="H63" s="922"/>
      <c r="I63" s="922"/>
      <c r="J63" s="922"/>
      <c r="K63" s="922"/>
      <c r="L63" s="922"/>
      <c r="M63" s="922"/>
      <c r="N63" s="922"/>
      <c r="O63" s="922"/>
      <c r="P63" s="922"/>
      <c r="AB63" s="86" t="s">
        <v>555</v>
      </c>
    </row>
    <row r="64" spans="2:50" s="67" customFormat="1" ht="30">
      <c r="B64" s="499" t="s">
        <v>550</v>
      </c>
      <c r="C64" s="500" t="s">
        <v>156</v>
      </c>
      <c r="D64" s="497" t="s">
        <v>154</v>
      </c>
      <c r="E64" s="491" t="str">
        <f>'About My Ranch'!$F$19&amp;" $ Depreciation"</f>
        <v xml:space="preserve"> $ Depreciation</v>
      </c>
      <c r="F64" s="491" t="s">
        <v>391</v>
      </c>
      <c r="G64" s="492" t="str">
        <f>IF('About My Ranch'!$D$6="X","Cow-Calf","")</f>
        <v>Cow-Calf</v>
      </c>
      <c r="H64" s="492" t="str">
        <f>IF('About My Ranch'!$D$7="X","Repl Hfr","")</f>
        <v/>
      </c>
      <c r="I64" s="492" t="str">
        <f>IF('About My Ranch'!$D$9="X","Bckgrdr","")</f>
        <v/>
      </c>
      <c r="J64" s="492" t="str">
        <f>IF('About My Ranch'!$D$10="X","Grasser","")</f>
        <v/>
      </c>
      <c r="K64" s="492" t="str">
        <f>IF('About My Ranch'!$D$11="x","Finisher","")</f>
        <v/>
      </c>
      <c r="L64" s="492" t="str">
        <f>IF('About My Ranch'!$D$12="X","Forage","")</f>
        <v/>
      </c>
      <c r="M64" s="492" t="str">
        <f>IF('About My Ranch'!$D$13="x","Grazing","")</f>
        <v/>
      </c>
      <c r="N64" s="492" t="str">
        <f>IF('About My Ranch'!$D$14="x","Grain","")</f>
        <v/>
      </c>
      <c r="O64" s="492" t="str">
        <f>IF('About My Ranch'!$D$15="x",'About My Ranch'!F54,"")</f>
        <v/>
      </c>
      <c r="P64" s="627" t="str">
        <f>IF('About My Ranch'!$D$8="X","Ranch-Raised Bull","")</f>
        <v/>
      </c>
      <c r="Q64" s="106"/>
      <c r="AB64" s="66" t="str">
        <f>G64</f>
        <v>Cow-Calf</v>
      </c>
      <c r="AC64" s="66" t="str">
        <f t="shared" ref="AC64:AK64" si="39">H64</f>
        <v/>
      </c>
      <c r="AD64" s="66" t="str">
        <f t="shared" si="39"/>
        <v/>
      </c>
      <c r="AE64" s="66" t="str">
        <f t="shared" si="39"/>
        <v/>
      </c>
      <c r="AF64" s="66" t="str">
        <f t="shared" si="39"/>
        <v/>
      </c>
      <c r="AG64" s="66" t="str">
        <f t="shared" si="39"/>
        <v/>
      </c>
      <c r="AH64" s="66" t="str">
        <f t="shared" si="39"/>
        <v/>
      </c>
      <c r="AI64" s="66" t="str">
        <f t="shared" si="39"/>
        <v/>
      </c>
      <c r="AJ64" s="66" t="str">
        <f t="shared" si="39"/>
        <v/>
      </c>
      <c r="AK64" s="628" t="str">
        <f t="shared" si="39"/>
        <v/>
      </c>
      <c r="AL64" s="101"/>
      <c r="AM64" s="629" t="str">
        <f>G64</f>
        <v>Cow-Calf</v>
      </c>
      <c r="AN64" s="66" t="str">
        <f t="shared" ref="AN64:AV64" si="40">H64</f>
        <v/>
      </c>
      <c r="AO64" s="66" t="str">
        <f t="shared" si="40"/>
        <v/>
      </c>
      <c r="AP64" s="66" t="str">
        <f t="shared" si="40"/>
        <v/>
      </c>
      <c r="AQ64" s="66" t="str">
        <f t="shared" si="40"/>
        <v/>
      </c>
      <c r="AR64" s="66" t="str">
        <f t="shared" si="40"/>
        <v/>
      </c>
      <c r="AS64" s="66" t="str">
        <f t="shared" si="40"/>
        <v/>
      </c>
      <c r="AT64" s="66" t="str">
        <f t="shared" si="40"/>
        <v/>
      </c>
      <c r="AU64" s="66" t="str">
        <f t="shared" si="40"/>
        <v/>
      </c>
      <c r="AV64" s="506" t="str">
        <f t="shared" si="40"/>
        <v/>
      </c>
      <c r="AW64" s="506" t="s">
        <v>556</v>
      </c>
      <c r="AX64" s="507" t="s">
        <v>46</v>
      </c>
    </row>
    <row r="65" spans="2:50">
      <c r="B65" s="176"/>
      <c r="C65" s="186"/>
      <c r="D65" s="179">
        <v>5</v>
      </c>
      <c r="E65" s="501">
        <f>C65*(D65/100)</f>
        <v>0</v>
      </c>
      <c r="F65" s="494">
        <f>SUM(G65:P65)</f>
        <v>0</v>
      </c>
      <c r="G65" s="179"/>
      <c r="H65" s="179"/>
      <c r="I65" s="179"/>
      <c r="J65" s="179"/>
      <c r="K65" s="179"/>
      <c r="L65" s="179"/>
      <c r="M65" s="179"/>
      <c r="N65" s="179"/>
      <c r="O65" s="176"/>
      <c r="P65" s="176"/>
      <c r="AB65" s="70" t="e">
        <f>G65/$F65</f>
        <v>#DIV/0!</v>
      </c>
      <c r="AC65" s="70" t="e">
        <f t="shared" ref="AC65:AK65" si="41">H65/$F65</f>
        <v>#DIV/0!</v>
      </c>
      <c r="AD65" s="70" t="e">
        <f t="shared" si="41"/>
        <v>#DIV/0!</v>
      </c>
      <c r="AE65" s="70" t="e">
        <f t="shared" si="41"/>
        <v>#DIV/0!</v>
      </c>
      <c r="AF65" s="70" t="e">
        <f t="shared" si="41"/>
        <v>#DIV/0!</v>
      </c>
      <c r="AG65" s="70" t="e">
        <f t="shared" si="41"/>
        <v>#DIV/0!</v>
      </c>
      <c r="AH65" s="70" t="e">
        <f t="shared" si="41"/>
        <v>#DIV/0!</v>
      </c>
      <c r="AI65" s="70" t="e">
        <f t="shared" si="41"/>
        <v>#DIV/0!</v>
      </c>
      <c r="AJ65" s="70" t="e">
        <f t="shared" si="41"/>
        <v>#DIV/0!</v>
      </c>
      <c r="AK65" s="611" t="e">
        <f t="shared" si="41"/>
        <v>#DIV/0!</v>
      </c>
      <c r="AL65" s="88"/>
      <c r="AM65" s="613" t="e">
        <f>AB65*$E65</f>
        <v>#DIV/0!</v>
      </c>
      <c r="AN65" s="92" t="e">
        <f t="shared" ref="AN65:AV65" si="42">AC65*$E65</f>
        <v>#DIV/0!</v>
      </c>
      <c r="AO65" s="92" t="e">
        <f t="shared" si="42"/>
        <v>#DIV/0!</v>
      </c>
      <c r="AP65" s="92" t="e">
        <f t="shared" si="42"/>
        <v>#DIV/0!</v>
      </c>
      <c r="AQ65" s="92" t="e">
        <f t="shared" si="42"/>
        <v>#DIV/0!</v>
      </c>
      <c r="AR65" s="92" t="e">
        <f t="shared" si="42"/>
        <v>#DIV/0!</v>
      </c>
      <c r="AS65" s="92" t="e">
        <f t="shared" si="42"/>
        <v>#DIV/0!</v>
      </c>
      <c r="AT65" s="92" t="e">
        <f t="shared" si="42"/>
        <v>#DIV/0!</v>
      </c>
      <c r="AU65" s="92" t="e">
        <f t="shared" si="42"/>
        <v>#DIV/0!</v>
      </c>
      <c r="AV65" s="92" t="e">
        <f t="shared" si="42"/>
        <v>#DIV/0!</v>
      </c>
      <c r="AW65" s="92" t="e">
        <f>SUM(AM65:AU65)</f>
        <v>#DIV/0!</v>
      </c>
      <c r="AX65" s="71" t="e">
        <f>IF(AW65=E65, "Good", "ERROR")</f>
        <v>#DIV/0!</v>
      </c>
    </row>
    <row r="66" spans="2:50">
      <c r="B66" s="176"/>
      <c r="C66" s="186"/>
      <c r="D66" s="179">
        <v>5</v>
      </c>
      <c r="E66" s="501">
        <f t="shared" ref="E66:E82" si="43">C66*(D66/100)</f>
        <v>0</v>
      </c>
      <c r="F66" s="494">
        <f t="shared" ref="F66:F85" si="44">SUM(G66:P66)</f>
        <v>0</v>
      </c>
      <c r="G66" s="179"/>
      <c r="H66" s="179"/>
      <c r="I66" s="179"/>
      <c r="J66" s="179"/>
      <c r="K66" s="179"/>
      <c r="L66" s="179"/>
      <c r="M66" s="179"/>
      <c r="N66" s="179"/>
      <c r="O66" s="176"/>
      <c r="P66" s="179"/>
      <c r="AB66" s="70" t="e">
        <f t="shared" ref="AB66:AB85" si="45">G66/$F66</f>
        <v>#DIV/0!</v>
      </c>
      <c r="AC66" s="70" t="e">
        <f t="shared" ref="AC66:AC85" si="46">H66/$F66</f>
        <v>#DIV/0!</v>
      </c>
      <c r="AD66" s="70" t="e">
        <f t="shared" ref="AD66:AD85" si="47">I66/$F66</f>
        <v>#DIV/0!</v>
      </c>
      <c r="AE66" s="70" t="e">
        <f t="shared" ref="AE66:AE85" si="48">J66/$F66</f>
        <v>#DIV/0!</v>
      </c>
      <c r="AF66" s="70" t="e">
        <f t="shared" ref="AF66:AF85" si="49">K66/$F66</f>
        <v>#DIV/0!</v>
      </c>
      <c r="AG66" s="70" t="e">
        <f t="shared" ref="AG66:AG85" si="50">L66/$F66</f>
        <v>#DIV/0!</v>
      </c>
      <c r="AH66" s="70" t="e">
        <f t="shared" ref="AH66:AH85" si="51">M66/$F66</f>
        <v>#DIV/0!</v>
      </c>
      <c r="AI66" s="70" t="e">
        <f t="shared" ref="AI66:AI85" si="52">N66/$F66</f>
        <v>#DIV/0!</v>
      </c>
      <c r="AJ66" s="70" t="e">
        <f t="shared" ref="AJ66:AK85" si="53">O66/$F66</f>
        <v>#DIV/0!</v>
      </c>
      <c r="AK66" s="611" t="e">
        <f t="shared" si="53"/>
        <v>#DIV/0!</v>
      </c>
      <c r="AL66" s="88"/>
      <c r="AM66" s="613" t="e">
        <f t="shared" ref="AM66:AM85" si="54">AB66*$E66</f>
        <v>#DIV/0!</v>
      </c>
      <c r="AN66" s="92" t="e">
        <f t="shared" ref="AN66:AN85" si="55">AC66*$E66</f>
        <v>#DIV/0!</v>
      </c>
      <c r="AO66" s="92" t="e">
        <f t="shared" ref="AO66:AO85" si="56">AD66*$E66</f>
        <v>#DIV/0!</v>
      </c>
      <c r="AP66" s="92" t="e">
        <f t="shared" ref="AP66:AP85" si="57">AE66*$E66</f>
        <v>#DIV/0!</v>
      </c>
      <c r="AQ66" s="92" t="e">
        <f t="shared" ref="AQ66:AQ85" si="58">AF66*$E66</f>
        <v>#DIV/0!</v>
      </c>
      <c r="AR66" s="92" t="e">
        <f t="shared" ref="AR66:AR85" si="59">AG66*$E66</f>
        <v>#DIV/0!</v>
      </c>
      <c r="AS66" s="92" t="e">
        <f t="shared" ref="AS66:AS85" si="60">AH66*$E66</f>
        <v>#DIV/0!</v>
      </c>
      <c r="AT66" s="92" t="e">
        <f t="shared" ref="AT66:AT85" si="61">AI66*$E66</f>
        <v>#DIV/0!</v>
      </c>
      <c r="AU66" s="92" t="e">
        <f t="shared" ref="AU66:AV85" si="62">AJ66*$E66</f>
        <v>#DIV/0!</v>
      </c>
      <c r="AV66" s="92" t="e">
        <f t="shared" si="62"/>
        <v>#DIV/0!</v>
      </c>
      <c r="AW66" s="92" t="e">
        <f t="shared" ref="AW66:AW85" si="63">SUM(AM66:AU66)</f>
        <v>#DIV/0!</v>
      </c>
      <c r="AX66" s="71" t="e">
        <f t="shared" ref="AX66:AX85" si="64">IF(AW66=E66, "Good", "ERROR")</f>
        <v>#DIV/0!</v>
      </c>
    </row>
    <row r="67" spans="2:50">
      <c r="B67" s="176"/>
      <c r="C67" s="186"/>
      <c r="D67" s="179">
        <v>5</v>
      </c>
      <c r="E67" s="501">
        <f t="shared" si="43"/>
        <v>0</v>
      </c>
      <c r="F67" s="494">
        <f t="shared" si="44"/>
        <v>0</v>
      </c>
      <c r="G67" s="179"/>
      <c r="H67" s="179"/>
      <c r="I67" s="179"/>
      <c r="J67" s="179"/>
      <c r="K67" s="179"/>
      <c r="L67" s="179"/>
      <c r="M67" s="179"/>
      <c r="N67" s="179"/>
      <c r="O67" s="176"/>
      <c r="P67" s="176"/>
      <c r="AB67" s="70" t="e">
        <f t="shared" si="45"/>
        <v>#DIV/0!</v>
      </c>
      <c r="AC67" s="70" t="e">
        <f t="shared" si="46"/>
        <v>#DIV/0!</v>
      </c>
      <c r="AD67" s="70" t="e">
        <f t="shared" si="47"/>
        <v>#DIV/0!</v>
      </c>
      <c r="AE67" s="70" t="e">
        <f t="shared" si="48"/>
        <v>#DIV/0!</v>
      </c>
      <c r="AF67" s="70" t="e">
        <f t="shared" si="49"/>
        <v>#DIV/0!</v>
      </c>
      <c r="AG67" s="70" t="e">
        <f t="shared" si="50"/>
        <v>#DIV/0!</v>
      </c>
      <c r="AH67" s="70" t="e">
        <f t="shared" si="51"/>
        <v>#DIV/0!</v>
      </c>
      <c r="AI67" s="70" t="e">
        <f t="shared" si="52"/>
        <v>#DIV/0!</v>
      </c>
      <c r="AJ67" s="70" t="e">
        <f t="shared" si="53"/>
        <v>#DIV/0!</v>
      </c>
      <c r="AK67" s="611" t="e">
        <f t="shared" si="53"/>
        <v>#DIV/0!</v>
      </c>
      <c r="AL67" s="88"/>
      <c r="AM67" s="613" t="e">
        <f t="shared" si="54"/>
        <v>#DIV/0!</v>
      </c>
      <c r="AN67" s="92" t="e">
        <f t="shared" si="55"/>
        <v>#DIV/0!</v>
      </c>
      <c r="AO67" s="92" t="e">
        <f t="shared" si="56"/>
        <v>#DIV/0!</v>
      </c>
      <c r="AP67" s="92" t="e">
        <f t="shared" si="57"/>
        <v>#DIV/0!</v>
      </c>
      <c r="AQ67" s="92" t="e">
        <f t="shared" si="58"/>
        <v>#DIV/0!</v>
      </c>
      <c r="AR67" s="92" t="e">
        <f t="shared" si="59"/>
        <v>#DIV/0!</v>
      </c>
      <c r="AS67" s="92" t="e">
        <f t="shared" si="60"/>
        <v>#DIV/0!</v>
      </c>
      <c r="AT67" s="92" t="e">
        <f t="shared" si="61"/>
        <v>#DIV/0!</v>
      </c>
      <c r="AU67" s="92" t="e">
        <f t="shared" si="62"/>
        <v>#DIV/0!</v>
      </c>
      <c r="AV67" s="92" t="e">
        <f t="shared" si="62"/>
        <v>#DIV/0!</v>
      </c>
      <c r="AW67" s="92" t="e">
        <f t="shared" si="63"/>
        <v>#DIV/0!</v>
      </c>
      <c r="AX67" s="71" t="e">
        <f t="shared" si="64"/>
        <v>#DIV/0!</v>
      </c>
    </row>
    <row r="68" spans="2:50">
      <c r="B68" s="176"/>
      <c r="C68" s="186"/>
      <c r="D68" s="179">
        <v>5</v>
      </c>
      <c r="E68" s="501">
        <f t="shared" si="43"/>
        <v>0</v>
      </c>
      <c r="F68" s="494">
        <f t="shared" si="44"/>
        <v>0</v>
      </c>
      <c r="G68" s="179"/>
      <c r="H68" s="179"/>
      <c r="I68" s="179"/>
      <c r="J68" s="179"/>
      <c r="K68" s="179"/>
      <c r="L68" s="179"/>
      <c r="M68" s="179"/>
      <c r="N68" s="179"/>
      <c r="O68" s="176"/>
      <c r="P68" s="176"/>
      <c r="AB68" s="70" t="e">
        <f t="shared" si="45"/>
        <v>#DIV/0!</v>
      </c>
      <c r="AC68" s="70" t="e">
        <f t="shared" si="46"/>
        <v>#DIV/0!</v>
      </c>
      <c r="AD68" s="70" t="e">
        <f t="shared" si="47"/>
        <v>#DIV/0!</v>
      </c>
      <c r="AE68" s="70" t="e">
        <f t="shared" si="48"/>
        <v>#DIV/0!</v>
      </c>
      <c r="AF68" s="70" t="e">
        <f t="shared" si="49"/>
        <v>#DIV/0!</v>
      </c>
      <c r="AG68" s="70" t="e">
        <f t="shared" si="50"/>
        <v>#DIV/0!</v>
      </c>
      <c r="AH68" s="70" t="e">
        <f t="shared" si="51"/>
        <v>#DIV/0!</v>
      </c>
      <c r="AI68" s="70" t="e">
        <f t="shared" si="52"/>
        <v>#DIV/0!</v>
      </c>
      <c r="AJ68" s="70" t="e">
        <f t="shared" si="53"/>
        <v>#DIV/0!</v>
      </c>
      <c r="AK68" s="611" t="e">
        <f t="shared" si="53"/>
        <v>#DIV/0!</v>
      </c>
      <c r="AL68" s="88"/>
      <c r="AM68" s="613" t="e">
        <f t="shared" si="54"/>
        <v>#DIV/0!</v>
      </c>
      <c r="AN68" s="92" t="e">
        <f t="shared" si="55"/>
        <v>#DIV/0!</v>
      </c>
      <c r="AO68" s="92" t="e">
        <f t="shared" si="56"/>
        <v>#DIV/0!</v>
      </c>
      <c r="AP68" s="92" t="e">
        <f t="shared" si="57"/>
        <v>#DIV/0!</v>
      </c>
      <c r="AQ68" s="92" t="e">
        <f t="shared" si="58"/>
        <v>#DIV/0!</v>
      </c>
      <c r="AR68" s="92" t="e">
        <f t="shared" si="59"/>
        <v>#DIV/0!</v>
      </c>
      <c r="AS68" s="92" t="e">
        <f t="shared" si="60"/>
        <v>#DIV/0!</v>
      </c>
      <c r="AT68" s="92" t="e">
        <f t="shared" si="61"/>
        <v>#DIV/0!</v>
      </c>
      <c r="AU68" s="92" t="e">
        <f t="shared" si="62"/>
        <v>#DIV/0!</v>
      </c>
      <c r="AV68" s="92" t="e">
        <f t="shared" si="62"/>
        <v>#DIV/0!</v>
      </c>
      <c r="AW68" s="92" t="e">
        <f t="shared" si="63"/>
        <v>#DIV/0!</v>
      </c>
      <c r="AX68" s="71" t="e">
        <f t="shared" si="64"/>
        <v>#DIV/0!</v>
      </c>
    </row>
    <row r="69" spans="2:50">
      <c r="B69" s="176"/>
      <c r="C69" s="186"/>
      <c r="D69" s="179">
        <v>5</v>
      </c>
      <c r="E69" s="501">
        <f t="shared" si="43"/>
        <v>0</v>
      </c>
      <c r="F69" s="494">
        <f t="shared" si="44"/>
        <v>0</v>
      </c>
      <c r="G69" s="179"/>
      <c r="H69" s="179"/>
      <c r="I69" s="179"/>
      <c r="J69" s="179"/>
      <c r="K69" s="179"/>
      <c r="L69" s="179"/>
      <c r="M69" s="179"/>
      <c r="N69" s="179"/>
      <c r="O69" s="176"/>
      <c r="P69" s="176"/>
      <c r="AB69" s="70" t="e">
        <f t="shared" si="45"/>
        <v>#DIV/0!</v>
      </c>
      <c r="AC69" s="70" t="e">
        <f t="shared" si="46"/>
        <v>#DIV/0!</v>
      </c>
      <c r="AD69" s="70" t="e">
        <f t="shared" si="47"/>
        <v>#DIV/0!</v>
      </c>
      <c r="AE69" s="70" t="e">
        <f t="shared" si="48"/>
        <v>#DIV/0!</v>
      </c>
      <c r="AF69" s="70" t="e">
        <f t="shared" si="49"/>
        <v>#DIV/0!</v>
      </c>
      <c r="AG69" s="70" t="e">
        <f t="shared" si="50"/>
        <v>#DIV/0!</v>
      </c>
      <c r="AH69" s="70" t="e">
        <f t="shared" si="51"/>
        <v>#DIV/0!</v>
      </c>
      <c r="AI69" s="70" t="e">
        <f t="shared" si="52"/>
        <v>#DIV/0!</v>
      </c>
      <c r="AJ69" s="70" t="e">
        <f t="shared" si="53"/>
        <v>#DIV/0!</v>
      </c>
      <c r="AK69" s="611" t="e">
        <f t="shared" si="53"/>
        <v>#DIV/0!</v>
      </c>
      <c r="AL69" s="88"/>
      <c r="AM69" s="613" t="e">
        <f t="shared" si="54"/>
        <v>#DIV/0!</v>
      </c>
      <c r="AN69" s="92" t="e">
        <f t="shared" si="55"/>
        <v>#DIV/0!</v>
      </c>
      <c r="AO69" s="92" t="e">
        <f t="shared" si="56"/>
        <v>#DIV/0!</v>
      </c>
      <c r="AP69" s="92" t="e">
        <f t="shared" si="57"/>
        <v>#DIV/0!</v>
      </c>
      <c r="AQ69" s="92" t="e">
        <f t="shared" si="58"/>
        <v>#DIV/0!</v>
      </c>
      <c r="AR69" s="92" t="e">
        <f t="shared" si="59"/>
        <v>#DIV/0!</v>
      </c>
      <c r="AS69" s="92" t="e">
        <f t="shared" si="60"/>
        <v>#DIV/0!</v>
      </c>
      <c r="AT69" s="92" t="e">
        <f t="shared" si="61"/>
        <v>#DIV/0!</v>
      </c>
      <c r="AU69" s="92" t="e">
        <f t="shared" si="62"/>
        <v>#DIV/0!</v>
      </c>
      <c r="AV69" s="92" t="e">
        <f t="shared" si="62"/>
        <v>#DIV/0!</v>
      </c>
      <c r="AW69" s="92" t="e">
        <f t="shared" si="63"/>
        <v>#DIV/0!</v>
      </c>
      <c r="AX69" s="71" t="e">
        <f t="shared" si="64"/>
        <v>#DIV/0!</v>
      </c>
    </row>
    <row r="70" spans="2:50">
      <c r="B70" s="176"/>
      <c r="C70" s="186"/>
      <c r="D70" s="179">
        <v>5</v>
      </c>
      <c r="E70" s="501">
        <f t="shared" si="43"/>
        <v>0</v>
      </c>
      <c r="F70" s="494">
        <f t="shared" si="44"/>
        <v>0</v>
      </c>
      <c r="G70" s="179"/>
      <c r="H70" s="179"/>
      <c r="I70" s="179"/>
      <c r="J70" s="179"/>
      <c r="K70" s="179"/>
      <c r="L70" s="179"/>
      <c r="M70" s="179"/>
      <c r="N70" s="179"/>
      <c r="O70" s="176"/>
      <c r="P70" s="176"/>
      <c r="AB70" s="70" t="e">
        <f t="shared" si="45"/>
        <v>#DIV/0!</v>
      </c>
      <c r="AC70" s="70" t="e">
        <f t="shared" si="46"/>
        <v>#DIV/0!</v>
      </c>
      <c r="AD70" s="70" t="e">
        <f t="shared" si="47"/>
        <v>#DIV/0!</v>
      </c>
      <c r="AE70" s="70" t="e">
        <f t="shared" si="48"/>
        <v>#DIV/0!</v>
      </c>
      <c r="AF70" s="70" t="e">
        <f t="shared" si="49"/>
        <v>#DIV/0!</v>
      </c>
      <c r="AG70" s="70" t="e">
        <f t="shared" si="50"/>
        <v>#DIV/0!</v>
      </c>
      <c r="AH70" s="70" t="e">
        <f t="shared" si="51"/>
        <v>#DIV/0!</v>
      </c>
      <c r="AI70" s="70" t="e">
        <f t="shared" si="52"/>
        <v>#DIV/0!</v>
      </c>
      <c r="AJ70" s="70" t="e">
        <f t="shared" si="53"/>
        <v>#DIV/0!</v>
      </c>
      <c r="AK70" s="611" t="e">
        <f t="shared" si="53"/>
        <v>#DIV/0!</v>
      </c>
      <c r="AL70" s="88"/>
      <c r="AM70" s="613" t="e">
        <f t="shared" si="54"/>
        <v>#DIV/0!</v>
      </c>
      <c r="AN70" s="92" t="e">
        <f t="shared" si="55"/>
        <v>#DIV/0!</v>
      </c>
      <c r="AO70" s="92" t="e">
        <f t="shared" si="56"/>
        <v>#DIV/0!</v>
      </c>
      <c r="AP70" s="92" t="e">
        <f t="shared" si="57"/>
        <v>#DIV/0!</v>
      </c>
      <c r="AQ70" s="92" t="e">
        <f t="shared" si="58"/>
        <v>#DIV/0!</v>
      </c>
      <c r="AR70" s="92" t="e">
        <f t="shared" si="59"/>
        <v>#DIV/0!</v>
      </c>
      <c r="AS70" s="92" t="e">
        <f t="shared" si="60"/>
        <v>#DIV/0!</v>
      </c>
      <c r="AT70" s="92" t="e">
        <f t="shared" si="61"/>
        <v>#DIV/0!</v>
      </c>
      <c r="AU70" s="92" t="e">
        <f t="shared" si="62"/>
        <v>#DIV/0!</v>
      </c>
      <c r="AV70" s="92" t="e">
        <f t="shared" si="62"/>
        <v>#DIV/0!</v>
      </c>
      <c r="AW70" s="92" t="e">
        <f t="shared" si="63"/>
        <v>#DIV/0!</v>
      </c>
      <c r="AX70" s="71" t="e">
        <f t="shared" si="64"/>
        <v>#DIV/0!</v>
      </c>
    </row>
    <row r="71" spans="2:50">
      <c r="B71" s="176"/>
      <c r="C71" s="186"/>
      <c r="D71" s="179">
        <v>5</v>
      </c>
      <c r="E71" s="501">
        <f t="shared" si="43"/>
        <v>0</v>
      </c>
      <c r="F71" s="494">
        <f t="shared" si="44"/>
        <v>0</v>
      </c>
      <c r="G71" s="179"/>
      <c r="H71" s="179"/>
      <c r="I71" s="179"/>
      <c r="J71" s="179"/>
      <c r="K71" s="179"/>
      <c r="L71" s="179"/>
      <c r="M71" s="179"/>
      <c r="N71" s="179"/>
      <c r="O71" s="176"/>
      <c r="P71" s="176"/>
      <c r="AB71" s="70" t="e">
        <f t="shared" si="45"/>
        <v>#DIV/0!</v>
      </c>
      <c r="AC71" s="70" t="e">
        <f t="shared" si="46"/>
        <v>#DIV/0!</v>
      </c>
      <c r="AD71" s="70" t="e">
        <f t="shared" si="47"/>
        <v>#DIV/0!</v>
      </c>
      <c r="AE71" s="70" t="e">
        <f t="shared" si="48"/>
        <v>#DIV/0!</v>
      </c>
      <c r="AF71" s="70" t="e">
        <f t="shared" si="49"/>
        <v>#DIV/0!</v>
      </c>
      <c r="AG71" s="70" t="e">
        <f t="shared" si="50"/>
        <v>#DIV/0!</v>
      </c>
      <c r="AH71" s="70" t="e">
        <f t="shared" si="51"/>
        <v>#DIV/0!</v>
      </c>
      <c r="AI71" s="70" t="e">
        <f t="shared" si="52"/>
        <v>#DIV/0!</v>
      </c>
      <c r="AJ71" s="70" t="e">
        <f t="shared" si="53"/>
        <v>#DIV/0!</v>
      </c>
      <c r="AK71" s="611" t="e">
        <f t="shared" si="53"/>
        <v>#DIV/0!</v>
      </c>
      <c r="AL71" s="88"/>
      <c r="AM71" s="613" t="e">
        <f t="shared" si="54"/>
        <v>#DIV/0!</v>
      </c>
      <c r="AN71" s="92" t="e">
        <f t="shared" si="55"/>
        <v>#DIV/0!</v>
      </c>
      <c r="AO71" s="92" t="e">
        <f t="shared" si="56"/>
        <v>#DIV/0!</v>
      </c>
      <c r="AP71" s="92" t="e">
        <f t="shared" si="57"/>
        <v>#DIV/0!</v>
      </c>
      <c r="AQ71" s="92" t="e">
        <f t="shared" si="58"/>
        <v>#DIV/0!</v>
      </c>
      <c r="AR71" s="92" t="e">
        <f t="shared" si="59"/>
        <v>#DIV/0!</v>
      </c>
      <c r="AS71" s="92" t="e">
        <f t="shared" si="60"/>
        <v>#DIV/0!</v>
      </c>
      <c r="AT71" s="92" t="e">
        <f t="shared" si="61"/>
        <v>#DIV/0!</v>
      </c>
      <c r="AU71" s="92" t="e">
        <f t="shared" si="62"/>
        <v>#DIV/0!</v>
      </c>
      <c r="AV71" s="92" t="e">
        <f t="shared" si="62"/>
        <v>#DIV/0!</v>
      </c>
      <c r="AW71" s="92" t="e">
        <f t="shared" si="63"/>
        <v>#DIV/0!</v>
      </c>
      <c r="AX71" s="71" t="e">
        <f t="shared" si="64"/>
        <v>#DIV/0!</v>
      </c>
    </row>
    <row r="72" spans="2:50">
      <c r="B72" s="176"/>
      <c r="C72" s="186"/>
      <c r="D72" s="179">
        <v>5</v>
      </c>
      <c r="E72" s="501">
        <f t="shared" si="43"/>
        <v>0</v>
      </c>
      <c r="F72" s="494">
        <f t="shared" si="44"/>
        <v>0</v>
      </c>
      <c r="G72" s="179"/>
      <c r="H72" s="179"/>
      <c r="I72" s="179"/>
      <c r="J72" s="179"/>
      <c r="K72" s="179"/>
      <c r="L72" s="179"/>
      <c r="M72" s="179"/>
      <c r="N72" s="179"/>
      <c r="O72" s="176"/>
      <c r="P72" s="176"/>
      <c r="AB72" s="70" t="e">
        <f t="shared" si="45"/>
        <v>#DIV/0!</v>
      </c>
      <c r="AC72" s="70" t="e">
        <f t="shared" si="46"/>
        <v>#DIV/0!</v>
      </c>
      <c r="AD72" s="70" t="e">
        <f t="shared" si="47"/>
        <v>#DIV/0!</v>
      </c>
      <c r="AE72" s="70" t="e">
        <f t="shared" si="48"/>
        <v>#DIV/0!</v>
      </c>
      <c r="AF72" s="70" t="e">
        <f t="shared" si="49"/>
        <v>#DIV/0!</v>
      </c>
      <c r="AG72" s="70" t="e">
        <f t="shared" si="50"/>
        <v>#DIV/0!</v>
      </c>
      <c r="AH72" s="70" t="e">
        <f t="shared" si="51"/>
        <v>#DIV/0!</v>
      </c>
      <c r="AI72" s="70" t="e">
        <f t="shared" si="52"/>
        <v>#DIV/0!</v>
      </c>
      <c r="AJ72" s="70" t="e">
        <f t="shared" si="53"/>
        <v>#DIV/0!</v>
      </c>
      <c r="AK72" s="611" t="e">
        <f t="shared" si="53"/>
        <v>#DIV/0!</v>
      </c>
      <c r="AL72" s="88"/>
      <c r="AM72" s="613" t="e">
        <f t="shared" si="54"/>
        <v>#DIV/0!</v>
      </c>
      <c r="AN72" s="92" t="e">
        <f t="shared" si="55"/>
        <v>#DIV/0!</v>
      </c>
      <c r="AO72" s="92" t="e">
        <f t="shared" si="56"/>
        <v>#DIV/0!</v>
      </c>
      <c r="AP72" s="92" t="e">
        <f t="shared" si="57"/>
        <v>#DIV/0!</v>
      </c>
      <c r="AQ72" s="92" t="e">
        <f t="shared" si="58"/>
        <v>#DIV/0!</v>
      </c>
      <c r="AR72" s="92" t="e">
        <f t="shared" si="59"/>
        <v>#DIV/0!</v>
      </c>
      <c r="AS72" s="92" t="e">
        <f t="shared" si="60"/>
        <v>#DIV/0!</v>
      </c>
      <c r="AT72" s="92" t="e">
        <f t="shared" si="61"/>
        <v>#DIV/0!</v>
      </c>
      <c r="AU72" s="92" t="e">
        <f t="shared" si="62"/>
        <v>#DIV/0!</v>
      </c>
      <c r="AV72" s="92" t="e">
        <f t="shared" si="62"/>
        <v>#DIV/0!</v>
      </c>
      <c r="AW72" s="92" t="e">
        <f t="shared" si="63"/>
        <v>#DIV/0!</v>
      </c>
      <c r="AX72" s="71" t="e">
        <f t="shared" si="64"/>
        <v>#DIV/0!</v>
      </c>
    </row>
    <row r="73" spans="2:50">
      <c r="B73" s="176"/>
      <c r="C73" s="186"/>
      <c r="D73" s="179">
        <v>5</v>
      </c>
      <c r="E73" s="501">
        <f t="shared" si="43"/>
        <v>0</v>
      </c>
      <c r="F73" s="494">
        <f t="shared" si="44"/>
        <v>0</v>
      </c>
      <c r="G73" s="179"/>
      <c r="H73" s="179"/>
      <c r="I73" s="179"/>
      <c r="J73" s="179"/>
      <c r="K73" s="179"/>
      <c r="L73" s="179"/>
      <c r="M73" s="179"/>
      <c r="N73" s="179"/>
      <c r="O73" s="176"/>
      <c r="P73" s="176"/>
      <c r="AB73" s="70" t="e">
        <f t="shared" si="45"/>
        <v>#DIV/0!</v>
      </c>
      <c r="AC73" s="70" t="e">
        <f t="shared" si="46"/>
        <v>#DIV/0!</v>
      </c>
      <c r="AD73" s="70" t="e">
        <f t="shared" si="47"/>
        <v>#DIV/0!</v>
      </c>
      <c r="AE73" s="70" t="e">
        <f t="shared" si="48"/>
        <v>#DIV/0!</v>
      </c>
      <c r="AF73" s="70" t="e">
        <f t="shared" si="49"/>
        <v>#DIV/0!</v>
      </c>
      <c r="AG73" s="70" t="e">
        <f t="shared" si="50"/>
        <v>#DIV/0!</v>
      </c>
      <c r="AH73" s="70" t="e">
        <f t="shared" si="51"/>
        <v>#DIV/0!</v>
      </c>
      <c r="AI73" s="70" t="e">
        <f t="shared" si="52"/>
        <v>#DIV/0!</v>
      </c>
      <c r="AJ73" s="70" t="e">
        <f t="shared" si="53"/>
        <v>#DIV/0!</v>
      </c>
      <c r="AK73" s="611" t="e">
        <f t="shared" si="53"/>
        <v>#DIV/0!</v>
      </c>
      <c r="AL73" s="88"/>
      <c r="AM73" s="613" t="e">
        <f t="shared" si="54"/>
        <v>#DIV/0!</v>
      </c>
      <c r="AN73" s="92" t="e">
        <f t="shared" si="55"/>
        <v>#DIV/0!</v>
      </c>
      <c r="AO73" s="92" t="e">
        <f t="shared" si="56"/>
        <v>#DIV/0!</v>
      </c>
      <c r="AP73" s="92" t="e">
        <f t="shared" si="57"/>
        <v>#DIV/0!</v>
      </c>
      <c r="AQ73" s="92" t="e">
        <f t="shared" si="58"/>
        <v>#DIV/0!</v>
      </c>
      <c r="AR73" s="92" t="e">
        <f t="shared" si="59"/>
        <v>#DIV/0!</v>
      </c>
      <c r="AS73" s="92" t="e">
        <f t="shared" si="60"/>
        <v>#DIV/0!</v>
      </c>
      <c r="AT73" s="92" t="e">
        <f t="shared" si="61"/>
        <v>#DIV/0!</v>
      </c>
      <c r="AU73" s="92" t="e">
        <f t="shared" si="62"/>
        <v>#DIV/0!</v>
      </c>
      <c r="AV73" s="92" t="e">
        <f t="shared" si="62"/>
        <v>#DIV/0!</v>
      </c>
      <c r="AW73" s="92" t="e">
        <f t="shared" si="63"/>
        <v>#DIV/0!</v>
      </c>
      <c r="AX73" s="71" t="e">
        <f t="shared" si="64"/>
        <v>#DIV/0!</v>
      </c>
    </row>
    <row r="74" spans="2:50">
      <c r="B74" s="176"/>
      <c r="C74" s="186"/>
      <c r="D74" s="179">
        <v>5</v>
      </c>
      <c r="E74" s="501">
        <f t="shared" si="43"/>
        <v>0</v>
      </c>
      <c r="F74" s="494">
        <f t="shared" si="44"/>
        <v>0</v>
      </c>
      <c r="G74" s="179"/>
      <c r="H74" s="179"/>
      <c r="I74" s="179"/>
      <c r="J74" s="179"/>
      <c r="K74" s="179"/>
      <c r="L74" s="179"/>
      <c r="M74" s="179"/>
      <c r="N74" s="179"/>
      <c r="O74" s="176"/>
      <c r="P74" s="176"/>
      <c r="AB74" s="70" t="e">
        <f t="shared" si="45"/>
        <v>#DIV/0!</v>
      </c>
      <c r="AC74" s="70" t="e">
        <f t="shared" si="46"/>
        <v>#DIV/0!</v>
      </c>
      <c r="AD74" s="70" t="e">
        <f t="shared" si="47"/>
        <v>#DIV/0!</v>
      </c>
      <c r="AE74" s="70" t="e">
        <f t="shared" si="48"/>
        <v>#DIV/0!</v>
      </c>
      <c r="AF74" s="70" t="e">
        <f t="shared" si="49"/>
        <v>#DIV/0!</v>
      </c>
      <c r="AG74" s="70" t="e">
        <f t="shared" si="50"/>
        <v>#DIV/0!</v>
      </c>
      <c r="AH74" s="70" t="e">
        <f t="shared" si="51"/>
        <v>#DIV/0!</v>
      </c>
      <c r="AI74" s="70" t="e">
        <f t="shared" si="52"/>
        <v>#DIV/0!</v>
      </c>
      <c r="AJ74" s="70" t="e">
        <f t="shared" si="53"/>
        <v>#DIV/0!</v>
      </c>
      <c r="AK74" s="611" t="e">
        <f t="shared" si="53"/>
        <v>#DIV/0!</v>
      </c>
      <c r="AL74" s="88"/>
      <c r="AM74" s="613" t="e">
        <f t="shared" si="54"/>
        <v>#DIV/0!</v>
      </c>
      <c r="AN74" s="92" t="e">
        <f t="shared" si="55"/>
        <v>#DIV/0!</v>
      </c>
      <c r="AO74" s="92" t="e">
        <f t="shared" si="56"/>
        <v>#DIV/0!</v>
      </c>
      <c r="AP74" s="92" t="e">
        <f t="shared" si="57"/>
        <v>#DIV/0!</v>
      </c>
      <c r="AQ74" s="92" t="e">
        <f t="shared" si="58"/>
        <v>#DIV/0!</v>
      </c>
      <c r="AR74" s="92" t="e">
        <f t="shared" si="59"/>
        <v>#DIV/0!</v>
      </c>
      <c r="AS74" s="92" t="e">
        <f t="shared" si="60"/>
        <v>#DIV/0!</v>
      </c>
      <c r="AT74" s="92" t="e">
        <f t="shared" si="61"/>
        <v>#DIV/0!</v>
      </c>
      <c r="AU74" s="92" t="e">
        <f t="shared" si="62"/>
        <v>#DIV/0!</v>
      </c>
      <c r="AV74" s="92" t="e">
        <f t="shared" si="62"/>
        <v>#DIV/0!</v>
      </c>
      <c r="AW74" s="92" t="e">
        <f t="shared" si="63"/>
        <v>#DIV/0!</v>
      </c>
      <c r="AX74" s="71" t="e">
        <f t="shared" si="64"/>
        <v>#DIV/0!</v>
      </c>
    </row>
    <row r="75" spans="2:50">
      <c r="B75" s="176"/>
      <c r="C75" s="186"/>
      <c r="D75" s="179">
        <v>5</v>
      </c>
      <c r="E75" s="501">
        <f t="shared" si="43"/>
        <v>0</v>
      </c>
      <c r="F75" s="494">
        <f t="shared" si="44"/>
        <v>0</v>
      </c>
      <c r="G75" s="179"/>
      <c r="H75" s="179"/>
      <c r="I75" s="179"/>
      <c r="J75" s="179"/>
      <c r="K75" s="179"/>
      <c r="L75" s="179"/>
      <c r="M75" s="179"/>
      <c r="N75" s="179"/>
      <c r="O75" s="176"/>
      <c r="P75" s="176"/>
      <c r="AB75" s="70" t="e">
        <f t="shared" si="45"/>
        <v>#DIV/0!</v>
      </c>
      <c r="AC75" s="70" t="e">
        <f t="shared" si="46"/>
        <v>#DIV/0!</v>
      </c>
      <c r="AD75" s="70" t="e">
        <f t="shared" si="47"/>
        <v>#DIV/0!</v>
      </c>
      <c r="AE75" s="70" t="e">
        <f t="shared" si="48"/>
        <v>#DIV/0!</v>
      </c>
      <c r="AF75" s="70" t="e">
        <f t="shared" si="49"/>
        <v>#DIV/0!</v>
      </c>
      <c r="AG75" s="70" t="e">
        <f t="shared" si="50"/>
        <v>#DIV/0!</v>
      </c>
      <c r="AH75" s="70" t="e">
        <f t="shared" si="51"/>
        <v>#DIV/0!</v>
      </c>
      <c r="AI75" s="70" t="e">
        <f t="shared" si="52"/>
        <v>#DIV/0!</v>
      </c>
      <c r="AJ75" s="70" t="e">
        <f t="shared" si="53"/>
        <v>#DIV/0!</v>
      </c>
      <c r="AK75" s="611" t="e">
        <f t="shared" si="53"/>
        <v>#DIV/0!</v>
      </c>
      <c r="AL75" s="88"/>
      <c r="AM75" s="613" t="e">
        <f t="shared" si="54"/>
        <v>#DIV/0!</v>
      </c>
      <c r="AN75" s="92" t="e">
        <f t="shared" si="55"/>
        <v>#DIV/0!</v>
      </c>
      <c r="AO75" s="92" t="e">
        <f t="shared" si="56"/>
        <v>#DIV/0!</v>
      </c>
      <c r="AP75" s="92" t="e">
        <f t="shared" si="57"/>
        <v>#DIV/0!</v>
      </c>
      <c r="AQ75" s="92" t="e">
        <f t="shared" si="58"/>
        <v>#DIV/0!</v>
      </c>
      <c r="AR75" s="92" t="e">
        <f t="shared" si="59"/>
        <v>#DIV/0!</v>
      </c>
      <c r="AS75" s="92" t="e">
        <f t="shared" si="60"/>
        <v>#DIV/0!</v>
      </c>
      <c r="AT75" s="92" t="e">
        <f t="shared" si="61"/>
        <v>#DIV/0!</v>
      </c>
      <c r="AU75" s="92" t="e">
        <f t="shared" si="62"/>
        <v>#DIV/0!</v>
      </c>
      <c r="AV75" s="92" t="e">
        <f t="shared" si="62"/>
        <v>#DIV/0!</v>
      </c>
      <c r="AW75" s="92" t="e">
        <f t="shared" si="63"/>
        <v>#DIV/0!</v>
      </c>
      <c r="AX75" s="71" t="e">
        <f t="shared" si="64"/>
        <v>#DIV/0!</v>
      </c>
    </row>
    <row r="76" spans="2:50">
      <c r="B76" s="176"/>
      <c r="C76" s="186"/>
      <c r="D76" s="179">
        <v>5</v>
      </c>
      <c r="E76" s="501">
        <f t="shared" si="43"/>
        <v>0</v>
      </c>
      <c r="F76" s="494">
        <f t="shared" si="44"/>
        <v>0</v>
      </c>
      <c r="G76" s="179"/>
      <c r="H76" s="179"/>
      <c r="I76" s="179"/>
      <c r="J76" s="179"/>
      <c r="K76" s="179"/>
      <c r="L76" s="179"/>
      <c r="M76" s="179"/>
      <c r="N76" s="179"/>
      <c r="O76" s="176"/>
      <c r="P76" s="176"/>
      <c r="AB76" s="70" t="e">
        <f t="shared" si="45"/>
        <v>#DIV/0!</v>
      </c>
      <c r="AC76" s="70" t="e">
        <f t="shared" si="46"/>
        <v>#DIV/0!</v>
      </c>
      <c r="AD76" s="70" t="e">
        <f t="shared" si="47"/>
        <v>#DIV/0!</v>
      </c>
      <c r="AE76" s="70" t="e">
        <f t="shared" si="48"/>
        <v>#DIV/0!</v>
      </c>
      <c r="AF76" s="70" t="e">
        <f t="shared" si="49"/>
        <v>#DIV/0!</v>
      </c>
      <c r="AG76" s="70" t="e">
        <f t="shared" si="50"/>
        <v>#DIV/0!</v>
      </c>
      <c r="AH76" s="70" t="e">
        <f t="shared" si="51"/>
        <v>#DIV/0!</v>
      </c>
      <c r="AI76" s="70" t="e">
        <f t="shared" si="52"/>
        <v>#DIV/0!</v>
      </c>
      <c r="AJ76" s="70" t="e">
        <f t="shared" si="53"/>
        <v>#DIV/0!</v>
      </c>
      <c r="AK76" s="611" t="e">
        <f t="shared" si="53"/>
        <v>#DIV/0!</v>
      </c>
      <c r="AL76" s="88"/>
      <c r="AM76" s="613" t="e">
        <f t="shared" si="54"/>
        <v>#DIV/0!</v>
      </c>
      <c r="AN76" s="92" t="e">
        <f t="shared" si="55"/>
        <v>#DIV/0!</v>
      </c>
      <c r="AO76" s="92" t="e">
        <f t="shared" si="56"/>
        <v>#DIV/0!</v>
      </c>
      <c r="AP76" s="92" t="e">
        <f t="shared" si="57"/>
        <v>#DIV/0!</v>
      </c>
      <c r="AQ76" s="92" t="e">
        <f t="shared" si="58"/>
        <v>#DIV/0!</v>
      </c>
      <c r="AR76" s="92" t="e">
        <f t="shared" si="59"/>
        <v>#DIV/0!</v>
      </c>
      <c r="AS76" s="92" t="e">
        <f t="shared" si="60"/>
        <v>#DIV/0!</v>
      </c>
      <c r="AT76" s="92" t="e">
        <f t="shared" si="61"/>
        <v>#DIV/0!</v>
      </c>
      <c r="AU76" s="92" t="e">
        <f t="shared" si="62"/>
        <v>#DIV/0!</v>
      </c>
      <c r="AV76" s="92" t="e">
        <f t="shared" si="62"/>
        <v>#DIV/0!</v>
      </c>
      <c r="AW76" s="92" t="e">
        <f t="shared" si="63"/>
        <v>#DIV/0!</v>
      </c>
      <c r="AX76" s="71" t="e">
        <f t="shared" si="64"/>
        <v>#DIV/0!</v>
      </c>
    </row>
    <row r="77" spans="2:50">
      <c r="B77" s="176"/>
      <c r="C77" s="186"/>
      <c r="D77" s="179">
        <v>5</v>
      </c>
      <c r="E77" s="501">
        <f t="shared" si="43"/>
        <v>0</v>
      </c>
      <c r="F77" s="494">
        <f t="shared" si="44"/>
        <v>0</v>
      </c>
      <c r="G77" s="179"/>
      <c r="H77" s="179"/>
      <c r="I77" s="179"/>
      <c r="J77" s="179"/>
      <c r="K77" s="179"/>
      <c r="L77" s="179"/>
      <c r="M77" s="179"/>
      <c r="N77" s="179"/>
      <c r="O77" s="176"/>
      <c r="P77" s="176"/>
      <c r="AB77" s="70" t="e">
        <f t="shared" si="45"/>
        <v>#DIV/0!</v>
      </c>
      <c r="AC77" s="70" t="e">
        <f t="shared" si="46"/>
        <v>#DIV/0!</v>
      </c>
      <c r="AD77" s="70" t="e">
        <f t="shared" si="47"/>
        <v>#DIV/0!</v>
      </c>
      <c r="AE77" s="70" t="e">
        <f t="shared" si="48"/>
        <v>#DIV/0!</v>
      </c>
      <c r="AF77" s="70" t="e">
        <f t="shared" si="49"/>
        <v>#DIV/0!</v>
      </c>
      <c r="AG77" s="70" t="e">
        <f t="shared" si="50"/>
        <v>#DIV/0!</v>
      </c>
      <c r="AH77" s="70" t="e">
        <f t="shared" si="51"/>
        <v>#DIV/0!</v>
      </c>
      <c r="AI77" s="70" t="e">
        <f t="shared" si="52"/>
        <v>#DIV/0!</v>
      </c>
      <c r="AJ77" s="70" t="e">
        <f t="shared" si="53"/>
        <v>#DIV/0!</v>
      </c>
      <c r="AK77" s="611" t="e">
        <f t="shared" si="53"/>
        <v>#DIV/0!</v>
      </c>
      <c r="AL77" s="88"/>
      <c r="AM77" s="613" t="e">
        <f t="shared" si="54"/>
        <v>#DIV/0!</v>
      </c>
      <c r="AN77" s="92" t="e">
        <f t="shared" si="55"/>
        <v>#DIV/0!</v>
      </c>
      <c r="AO77" s="92" t="e">
        <f t="shared" si="56"/>
        <v>#DIV/0!</v>
      </c>
      <c r="AP77" s="92" t="e">
        <f t="shared" si="57"/>
        <v>#DIV/0!</v>
      </c>
      <c r="AQ77" s="92" t="e">
        <f t="shared" si="58"/>
        <v>#DIV/0!</v>
      </c>
      <c r="AR77" s="92" t="e">
        <f t="shared" si="59"/>
        <v>#DIV/0!</v>
      </c>
      <c r="AS77" s="92" t="e">
        <f t="shared" si="60"/>
        <v>#DIV/0!</v>
      </c>
      <c r="AT77" s="92" t="e">
        <f t="shared" si="61"/>
        <v>#DIV/0!</v>
      </c>
      <c r="AU77" s="92" t="e">
        <f t="shared" si="62"/>
        <v>#DIV/0!</v>
      </c>
      <c r="AV77" s="92" t="e">
        <f t="shared" si="62"/>
        <v>#DIV/0!</v>
      </c>
      <c r="AW77" s="92" t="e">
        <f t="shared" si="63"/>
        <v>#DIV/0!</v>
      </c>
      <c r="AX77" s="71" t="e">
        <f t="shared" si="64"/>
        <v>#DIV/0!</v>
      </c>
    </row>
    <row r="78" spans="2:50">
      <c r="B78" s="191"/>
      <c r="C78" s="186"/>
      <c r="D78" s="179">
        <v>5</v>
      </c>
      <c r="E78" s="501">
        <f t="shared" si="43"/>
        <v>0</v>
      </c>
      <c r="F78" s="494">
        <f t="shared" si="44"/>
        <v>100</v>
      </c>
      <c r="G78" s="179">
        <v>100</v>
      </c>
      <c r="H78" s="179"/>
      <c r="I78" s="179"/>
      <c r="J78" s="179"/>
      <c r="K78" s="179"/>
      <c r="L78" s="179"/>
      <c r="M78" s="179"/>
      <c r="N78" s="179"/>
      <c r="O78" s="176"/>
      <c r="P78" s="176"/>
      <c r="AB78" s="70">
        <f t="shared" si="45"/>
        <v>1</v>
      </c>
      <c r="AC78" s="70">
        <f t="shared" si="46"/>
        <v>0</v>
      </c>
      <c r="AD78" s="70">
        <f t="shared" si="47"/>
        <v>0</v>
      </c>
      <c r="AE78" s="70">
        <f t="shared" si="48"/>
        <v>0</v>
      </c>
      <c r="AF78" s="70">
        <f t="shared" si="49"/>
        <v>0</v>
      </c>
      <c r="AG78" s="70">
        <f t="shared" si="50"/>
        <v>0</v>
      </c>
      <c r="AH78" s="70">
        <f t="shared" si="51"/>
        <v>0</v>
      </c>
      <c r="AI78" s="70">
        <f t="shared" si="52"/>
        <v>0</v>
      </c>
      <c r="AJ78" s="70">
        <f t="shared" si="53"/>
        <v>0</v>
      </c>
      <c r="AK78" s="611">
        <f t="shared" si="53"/>
        <v>0</v>
      </c>
      <c r="AL78" s="88"/>
      <c r="AM78" s="613">
        <f t="shared" si="54"/>
        <v>0</v>
      </c>
      <c r="AN78" s="92">
        <f t="shared" si="55"/>
        <v>0</v>
      </c>
      <c r="AO78" s="92">
        <f t="shared" si="56"/>
        <v>0</v>
      </c>
      <c r="AP78" s="92">
        <f t="shared" si="57"/>
        <v>0</v>
      </c>
      <c r="AQ78" s="92">
        <f t="shared" si="58"/>
        <v>0</v>
      </c>
      <c r="AR78" s="92">
        <f t="shared" si="59"/>
        <v>0</v>
      </c>
      <c r="AS78" s="92">
        <f t="shared" si="60"/>
        <v>0</v>
      </c>
      <c r="AT78" s="92">
        <f t="shared" si="61"/>
        <v>0</v>
      </c>
      <c r="AU78" s="92">
        <f t="shared" si="62"/>
        <v>0</v>
      </c>
      <c r="AV78" s="92">
        <f t="shared" si="62"/>
        <v>0</v>
      </c>
      <c r="AW78" s="92">
        <f t="shared" si="63"/>
        <v>0</v>
      </c>
      <c r="AX78" s="71" t="str">
        <f t="shared" si="64"/>
        <v>Good</v>
      </c>
    </row>
    <row r="79" spans="2:50">
      <c r="B79" s="191"/>
      <c r="C79" s="186"/>
      <c r="D79" s="179">
        <v>5</v>
      </c>
      <c r="E79" s="501">
        <f t="shared" si="43"/>
        <v>0</v>
      </c>
      <c r="F79" s="494">
        <f t="shared" si="44"/>
        <v>100</v>
      </c>
      <c r="G79" s="179">
        <v>100</v>
      </c>
      <c r="H79" s="179"/>
      <c r="I79" s="179"/>
      <c r="J79" s="179"/>
      <c r="K79" s="179"/>
      <c r="L79" s="179"/>
      <c r="M79" s="179"/>
      <c r="N79" s="179"/>
      <c r="O79" s="176"/>
      <c r="P79" s="176"/>
      <c r="AB79" s="70">
        <f t="shared" si="45"/>
        <v>1</v>
      </c>
      <c r="AC79" s="70">
        <f t="shared" si="46"/>
        <v>0</v>
      </c>
      <c r="AD79" s="70">
        <f t="shared" si="47"/>
        <v>0</v>
      </c>
      <c r="AE79" s="70">
        <f t="shared" si="48"/>
        <v>0</v>
      </c>
      <c r="AF79" s="70">
        <f t="shared" si="49"/>
        <v>0</v>
      </c>
      <c r="AG79" s="70">
        <f t="shared" si="50"/>
        <v>0</v>
      </c>
      <c r="AH79" s="70">
        <f t="shared" si="51"/>
        <v>0</v>
      </c>
      <c r="AI79" s="70">
        <f t="shared" si="52"/>
        <v>0</v>
      </c>
      <c r="AJ79" s="70">
        <f t="shared" si="53"/>
        <v>0</v>
      </c>
      <c r="AK79" s="611">
        <f t="shared" si="53"/>
        <v>0</v>
      </c>
      <c r="AL79" s="88"/>
      <c r="AM79" s="613">
        <f t="shared" si="54"/>
        <v>0</v>
      </c>
      <c r="AN79" s="92">
        <f t="shared" si="55"/>
        <v>0</v>
      </c>
      <c r="AO79" s="92">
        <f t="shared" si="56"/>
        <v>0</v>
      </c>
      <c r="AP79" s="92">
        <f t="shared" si="57"/>
        <v>0</v>
      </c>
      <c r="AQ79" s="92">
        <f t="shared" si="58"/>
        <v>0</v>
      </c>
      <c r="AR79" s="92">
        <f t="shared" si="59"/>
        <v>0</v>
      </c>
      <c r="AS79" s="92">
        <f t="shared" si="60"/>
        <v>0</v>
      </c>
      <c r="AT79" s="92">
        <f t="shared" si="61"/>
        <v>0</v>
      </c>
      <c r="AU79" s="92">
        <f t="shared" si="62"/>
        <v>0</v>
      </c>
      <c r="AV79" s="92">
        <f t="shared" si="62"/>
        <v>0</v>
      </c>
      <c r="AW79" s="92">
        <f t="shared" si="63"/>
        <v>0</v>
      </c>
      <c r="AX79" s="71" t="str">
        <f t="shared" si="64"/>
        <v>Good</v>
      </c>
    </row>
    <row r="80" spans="2:50">
      <c r="B80" s="191"/>
      <c r="C80" s="186"/>
      <c r="D80" s="179">
        <v>5</v>
      </c>
      <c r="E80" s="501">
        <f t="shared" si="43"/>
        <v>0</v>
      </c>
      <c r="F80" s="494">
        <f t="shared" si="44"/>
        <v>100</v>
      </c>
      <c r="G80" s="179">
        <v>100</v>
      </c>
      <c r="H80" s="179"/>
      <c r="I80" s="179"/>
      <c r="J80" s="179"/>
      <c r="K80" s="179"/>
      <c r="L80" s="179"/>
      <c r="M80" s="179"/>
      <c r="N80" s="179"/>
      <c r="O80" s="176"/>
      <c r="P80" s="176"/>
      <c r="AB80" s="70">
        <f t="shared" si="45"/>
        <v>1</v>
      </c>
      <c r="AC80" s="70">
        <f t="shared" si="46"/>
        <v>0</v>
      </c>
      <c r="AD80" s="70">
        <f t="shared" si="47"/>
        <v>0</v>
      </c>
      <c r="AE80" s="70">
        <f t="shared" si="48"/>
        <v>0</v>
      </c>
      <c r="AF80" s="70">
        <f t="shared" si="49"/>
        <v>0</v>
      </c>
      <c r="AG80" s="70">
        <f t="shared" si="50"/>
        <v>0</v>
      </c>
      <c r="AH80" s="70">
        <f t="shared" si="51"/>
        <v>0</v>
      </c>
      <c r="AI80" s="70">
        <f t="shared" si="52"/>
        <v>0</v>
      </c>
      <c r="AJ80" s="70">
        <f t="shared" si="53"/>
        <v>0</v>
      </c>
      <c r="AK80" s="611">
        <f t="shared" si="53"/>
        <v>0</v>
      </c>
      <c r="AL80" s="88"/>
      <c r="AM80" s="613">
        <f t="shared" si="54"/>
        <v>0</v>
      </c>
      <c r="AN80" s="92">
        <f t="shared" si="55"/>
        <v>0</v>
      </c>
      <c r="AO80" s="92">
        <f t="shared" si="56"/>
        <v>0</v>
      </c>
      <c r="AP80" s="92">
        <f t="shared" si="57"/>
        <v>0</v>
      </c>
      <c r="AQ80" s="92">
        <f t="shared" si="58"/>
        <v>0</v>
      </c>
      <c r="AR80" s="92">
        <f t="shared" si="59"/>
        <v>0</v>
      </c>
      <c r="AS80" s="92">
        <f t="shared" si="60"/>
        <v>0</v>
      </c>
      <c r="AT80" s="92">
        <f t="shared" si="61"/>
        <v>0</v>
      </c>
      <c r="AU80" s="92">
        <f t="shared" si="62"/>
        <v>0</v>
      </c>
      <c r="AV80" s="92">
        <f t="shared" si="62"/>
        <v>0</v>
      </c>
      <c r="AW80" s="92">
        <f t="shared" si="63"/>
        <v>0</v>
      </c>
      <c r="AX80" s="71" t="str">
        <f t="shared" si="64"/>
        <v>Good</v>
      </c>
    </row>
    <row r="81" spans="2:50">
      <c r="B81" s="191"/>
      <c r="C81" s="186"/>
      <c r="D81" s="179">
        <v>20</v>
      </c>
      <c r="E81" s="501">
        <f t="shared" si="43"/>
        <v>0</v>
      </c>
      <c r="F81" s="494">
        <f t="shared" si="44"/>
        <v>100</v>
      </c>
      <c r="G81" s="179">
        <v>100</v>
      </c>
      <c r="H81" s="179"/>
      <c r="I81" s="179"/>
      <c r="J81" s="179"/>
      <c r="K81" s="179"/>
      <c r="L81" s="179"/>
      <c r="M81" s="179"/>
      <c r="N81" s="179"/>
      <c r="O81" s="176"/>
      <c r="P81" s="176"/>
      <c r="AB81" s="70">
        <f t="shared" si="45"/>
        <v>1</v>
      </c>
      <c r="AC81" s="70">
        <f t="shared" si="46"/>
        <v>0</v>
      </c>
      <c r="AD81" s="70">
        <f t="shared" si="47"/>
        <v>0</v>
      </c>
      <c r="AE81" s="70">
        <f t="shared" si="48"/>
        <v>0</v>
      </c>
      <c r="AF81" s="70">
        <f t="shared" si="49"/>
        <v>0</v>
      </c>
      <c r="AG81" s="70">
        <f t="shared" si="50"/>
        <v>0</v>
      </c>
      <c r="AH81" s="70">
        <f t="shared" si="51"/>
        <v>0</v>
      </c>
      <c r="AI81" s="70">
        <f t="shared" si="52"/>
        <v>0</v>
      </c>
      <c r="AJ81" s="70">
        <f t="shared" si="53"/>
        <v>0</v>
      </c>
      <c r="AK81" s="611">
        <f t="shared" si="53"/>
        <v>0</v>
      </c>
      <c r="AL81" s="88"/>
      <c r="AM81" s="613">
        <f t="shared" si="54"/>
        <v>0</v>
      </c>
      <c r="AN81" s="92">
        <f t="shared" si="55"/>
        <v>0</v>
      </c>
      <c r="AO81" s="92">
        <f t="shared" si="56"/>
        <v>0</v>
      </c>
      <c r="AP81" s="92">
        <f t="shared" si="57"/>
        <v>0</v>
      </c>
      <c r="AQ81" s="92">
        <f t="shared" si="58"/>
        <v>0</v>
      </c>
      <c r="AR81" s="92">
        <f t="shared" si="59"/>
        <v>0</v>
      </c>
      <c r="AS81" s="92">
        <f t="shared" si="60"/>
        <v>0</v>
      </c>
      <c r="AT81" s="92">
        <f t="shared" si="61"/>
        <v>0</v>
      </c>
      <c r="AU81" s="92">
        <f t="shared" si="62"/>
        <v>0</v>
      </c>
      <c r="AV81" s="92">
        <f t="shared" si="62"/>
        <v>0</v>
      </c>
      <c r="AW81" s="92">
        <f t="shared" si="63"/>
        <v>0</v>
      </c>
      <c r="AX81" s="71" t="str">
        <f t="shared" si="64"/>
        <v>Good</v>
      </c>
    </row>
    <row r="82" spans="2:50">
      <c r="B82" s="191"/>
      <c r="C82" s="186"/>
      <c r="D82" s="179">
        <v>5</v>
      </c>
      <c r="E82" s="501">
        <f t="shared" si="43"/>
        <v>0</v>
      </c>
      <c r="F82" s="494">
        <f t="shared" si="44"/>
        <v>100</v>
      </c>
      <c r="G82" s="179">
        <v>100</v>
      </c>
      <c r="H82" s="179"/>
      <c r="I82" s="179"/>
      <c r="J82" s="179"/>
      <c r="K82" s="179"/>
      <c r="L82" s="179"/>
      <c r="M82" s="179"/>
      <c r="N82" s="179"/>
      <c r="O82" s="176"/>
      <c r="P82" s="176"/>
      <c r="Q82" s="104" t="s">
        <v>46</v>
      </c>
      <c r="AB82" s="70">
        <f t="shared" si="45"/>
        <v>1</v>
      </c>
      <c r="AC82" s="70">
        <f t="shared" si="46"/>
        <v>0</v>
      </c>
      <c r="AD82" s="70">
        <f t="shared" si="47"/>
        <v>0</v>
      </c>
      <c r="AE82" s="70">
        <f t="shared" si="48"/>
        <v>0</v>
      </c>
      <c r="AF82" s="70">
        <f t="shared" si="49"/>
        <v>0</v>
      </c>
      <c r="AG82" s="70">
        <f t="shared" si="50"/>
        <v>0</v>
      </c>
      <c r="AH82" s="70">
        <f t="shared" si="51"/>
        <v>0</v>
      </c>
      <c r="AI82" s="70">
        <f t="shared" si="52"/>
        <v>0</v>
      </c>
      <c r="AJ82" s="70">
        <f t="shared" si="53"/>
        <v>0</v>
      </c>
      <c r="AK82" s="611">
        <f t="shared" si="53"/>
        <v>0</v>
      </c>
      <c r="AL82" s="88"/>
      <c r="AM82" s="613">
        <f t="shared" si="54"/>
        <v>0</v>
      </c>
      <c r="AN82" s="92">
        <f t="shared" si="55"/>
        <v>0</v>
      </c>
      <c r="AO82" s="92">
        <f t="shared" si="56"/>
        <v>0</v>
      </c>
      <c r="AP82" s="92">
        <f t="shared" si="57"/>
        <v>0</v>
      </c>
      <c r="AQ82" s="92">
        <f t="shared" si="58"/>
        <v>0</v>
      </c>
      <c r="AR82" s="92">
        <f t="shared" si="59"/>
        <v>0</v>
      </c>
      <c r="AS82" s="92">
        <f t="shared" si="60"/>
        <v>0</v>
      </c>
      <c r="AT82" s="92">
        <f t="shared" si="61"/>
        <v>0</v>
      </c>
      <c r="AU82" s="92">
        <f t="shared" si="62"/>
        <v>0</v>
      </c>
      <c r="AV82" s="92">
        <f t="shared" si="62"/>
        <v>0</v>
      </c>
      <c r="AW82" s="92">
        <f t="shared" si="63"/>
        <v>0</v>
      </c>
      <c r="AX82" s="71" t="str">
        <f t="shared" si="64"/>
        <v>Good</v>
      </c>
    </row>
    <row r="83" spans="2:50">
      <c r="B83" s="191"/>
      <c r="C83" s="186"/>
      <c r="D83" s="179">
        <v>5</v>
      </c>
      <c r="E83" s="501">
        <f>C83*(D83/100)</f>
        <v>0</v>
      </c>
      <c r="F83" s="494">
        <f t="shared" si="44"/>
        <v>100</v>
      </c>
      <c r="G83" s="179">
        <v>100</v>
      </c>
      <c r="H83" s="179"/>
      <c r="I83" s="179"/>
      <c r="J83" s="179"/>
      <c r="K83" s="179"/>
      <c r="L83" s="179"/>
      <c r="M83" s="179"/>
      <c r="N83" s="179"/>
      <c r="O83" s="176"/>
      <c r="P83" s="176"/>
      <c r="Q83" s="104"/>
      <c r="AB83" s="70">
        <f t="shared" si="45"/>
        <v>1</v>
      </c>
      <c r="AC83" s="70">
        <f t="shared" si="46"/>
        <v>0</v>
      </c>
      <c r="AD83" s="70">
        <f t="shared" si="47"/>
        <v>0</v>
      </c>
      <c r="AE83" s="70">
        <f t="shared" si="48"/>
        <v>0</v>
      </c>
      <c r="AF83" s="70">
        <f t="shared" si="49"/>
        <v>0</v>
      </c>
      <c r="AG83" s="70">
        <f t="shared" si="50"/>
        <v>0</v>
      </c>
      <c r="AH83" s="70">
        <f t="shared" si="51"/>
        <v>0</v>
      </c>
      <c r="AI83" s="70">
        <f t="shared" si="52"/>
        <v>0</v>
      </c>
      <c r="AJ83" s="70">
        <f t="shared" si="53"/>
        <v>0</v>
      </c>
      <c r="AK83" s="611">
        <f t="shared" si="53"/>
        <v>0</v>
      </c>
      <c r="AL83" s="88"/>
      <c r="AM83" s="613">
        <f t="shared" si="54"/>
        <v>0</v>
      </c>
      <c r="AN83" s="92">
        <f t="shared" si="55"/>
        <v>0</v>
      </c>
      <c r="AO83" s="92">
        <f t="shared" si="56"/>
        <v>0</v>
      </c>
      <c r="AP83" s="92">
        <f t="shared" si="57"/>
        <v>0</v>
      </c>
      <c r="AQ83" s="92">
        <f t="shared" si="58"/>
        <v>0</v>
      </c>
      <c r="AR83" s="92">
        <f t="shared" si="59"/>
        <v>0</v>
      </c>
      <c r="AS83" s="92">
        <f t="shared" si="60"/>
        <v>0</v>
      </c>
      <c r="AT83" s="92">
        <f t="shared" si="61"/>
        <v>0</v>
      </c>
      <c r="AU83" s="92">
        <f t="shared" si="62"/>
        <v>0</v>
      </c>
      <c r="AV83" s="92">
        <f t="shared" si="62"/>
        <v>0</v>
      </c>
      <c r="AW83" s="92">
        <f t="shared" si="63"/>
        <v>0</v>
      </c>
      <c r="AX83" s="71" t="str">
        <f t="shared" si="64"/>
        <v>Good</v>
      </c>
    </row>
    <row r="84" spans="2:50">
      <c r="B84" s="191"/>
      <c r="C84" s="186"/>
      <c r="D84" s="179">
        <v>5</v>
      </c>
      <c r="E84" s="501">
        <f>C84*(D84/100)</f>
        <v>0</v>
      </c>
      <c r="F84" s="494">
        <f t="shared" si="44"/>
        <v>100</v>
      </c>
      <c r="G84" s="179">
        <v>100</v>
      </c>
      <c r="H84" s="179"/>
      <c r="I84" s="179"/>
      <c r="J84" s="179"/>
      <c r="K84" s="179"/>
      <c r="L84" s="179"/>
      <c r="M84" s="179"/>
      <c r="N84" s="179"/>
      <c r="O84" s="176"/>
      <c r="P84" s="176"/>
      <c r="Q84" s="104"/>
      <c r="AB84" s="70">
        <f t="shared" si="45"/>
        <v>1</v>
      </c>
      <c r="AC84" s="70">
        <f t="shared" si="46"/>
        <v>0</v>
      </c>
      <c r="AD84" s="70">
        <f t="shared" si="47"/>
        <v>0</v>
      </c>
      <c r="AE84" s="70">
        <f t="shared" si="48"/>
        <v>0</v>
      </c>
      <c r="AF84" s="70">
        <f t="shared" si="49"/>
        <v>0</v>
      </c>
      <c r="AG84" s="70">
        <f t="shared" si="50"/>
        <v>0</v>
      </c>
      <c r="AH84" s="70">
        <f t="shared" si="51"/>
        <v>0</v>
      </c>
      <c r="AI84" s="70">
        <f t="shared" si="52"/>
        <v>0</v>
      </c>
      <c r="AJ84" s="70">
        <f t="shared" si="53"/>
        <v>0</v>
      </c>
      <c r="AK84" s="611">
        <f t="shared" si="53"/>
        <v>0</v>
      </c>
      <c r="AL84" s="88"/>
      <c r="AM84" s="613">
        <f t="shared" si="54"/>
        <v>0</v>
      </c>
      <c r="AN84" s="92">
        <f t="shared" si="55"/>
        <v>0</v>
      </c>
      <c r="AO84" s="92">
        <f t="shared" si="56"/>
        <v>0</v>
      </c>
      <c r="AP84" s="92">
        <f t="shared" si="57"/>
        <v>0</v>
      </c>
      <c r="AQ84" s="92">
        <f t="shared" si="58"/>
        <v>0</v>
      </c>
      <c r="AR84" s="92">
        <f t="shared" si="59"/>
        <v>0</v>
      </c>
      <c r="AS84" s="92">
        <f t="shared" si="60"/>
        <v>0</v>
      </c>
      <c r="AT84" s="92">
        <f t="shared" si="61"/>
        <v>0</v>
      </c>
      <c r="AU84" s="92">
        <f t="shared" si="62"/>
        <v>0</v>
      </c>
      <c r="AV84" s="92">
        <f t="shared" si="62"/>
        <v>0</v>
      </c>
      <c r="AW84" s="92">
        <f t="shared" si="63"/>
        <v>0</v>
      </c>
      <c r="AX84" s="71" t="str">
        <f t="shared" si="64"/>
        <v>Good</v>
      </c>
    </row>
    <row r="85" spans="2:50">
      <c r="B85" s="191"/>
      <c r="C85" s="186"/>
      <c r="D85" s="179">
        <v>5</v>
      </c>
      <c r="E85" s="501">
        <f>C85*(D85/100)</f>
        <v>0</v>
      </c>
      <c r="F85" s="494">
        <f t="shared" si="44"/>
        <v>100</v>
      </c>
      <c r="G85" s="179">
        <v>100</v>
      </c>
      <c r="H85" s="179"/>
      <c r="I85" s="179"/>
      <c r="J85" s="179"/>
      <c r="K85" s="179"/>
      <c r="L85" s="179"/>
      <c r="M85" s="179"/>
      <c r="N85" s="179"/>
      <c r="O85" s="176"/>
      <c r="P85" s="176"/>
      <c r="Q85" s="104"/>
      <c r="AB85" s="70">
        <f t="shared" si="45"/>
        <v>1</v>
      </c>
      <c r="AC85" s="70">
        <f t="shared" si="46"/>
        <v>0</v>
      </c>
      <c r="AD85" s="70">
        <f t="shared" si="47"/>
        <v>0</v>
      </c>
      <c r="AE85" s="70">
        <f t="shared" si="48"/>
        <v>0</v>
      </c>
      <c r="AF85" s="70">
        <f t="shared" si="49"/>
        <v>0</v>
      </c>
      <c r="AG85" s="70">
        <f t="shared" si="50"/>
        <v>0</v>
      </c>
      <c r="AH85" s="70">
        <f t="shared" si="51"/>
        <v>0</v>
      </c>
      <c r="AI85" s="70">
        <f t="shared" si="52"/>
        <v>0</v>
      </c>
      <c r="AJ85" s="70">
        <f t="shared" si="53"/>
        <v>0</v>
      </c>
      <c r="AK85" s="611">
        <f t="shared" si="53"/>
        <v>0</v>
      </c>
      <c r="AL85" s="88"/>
      <c r="AM85" s="613">
        <f t="shared" si="54"/>
        <v>0</v>
      </c>
      <c r="AN85" s="92">
        <f t="shared" si="55"/>
        <v>0</v>
      </c>
      <c r="AO85" s="92">
        <f t="shared" si="56"/>
        <v>0</v>
      </c>
      <c r="AP85" s="92">
        <f t="shared" si="57"/>
        <v>0</v>
      </c>
      <c r="AQ85" s="92">
        <f t="shared" si="58"/>
        <v>0</v>
      </c>
      <c r="AR85" s="92">
        <f t="shared" si="59"/>
        <v>0</v>
      </c>
      <c r="AS85" s="92">
        <f t="shared" si="60"/>
        <v>0</v>
      </c>
      <c r="AT85" s="92">
        <f t="shared" si="61"/>
        <v>0</v>
      </c>
      <c r="AU85" s="92">
        <f t="shared" si="62"/>
        <v>0</v>
      </c>
      <c r="AV85" s="92">
        <f t="shared" si="62"/>
        <v>0</v>
      </c>
      <c r="AW85" s="92">
        <f t="shared" si="63"/>
        <v>0</v>
      </c>
      <c r="AX85" s="71" t="str">
        <f t="shared" si="64"/>
        <v>Good</v>
      </c>
    </row>
    <row r="86" spans="2:50">
      <c r="B86" s="67" t="s">
        <v>551</v>
      </c>
      <c r="E86" s="69">
        <f>SUM(E65:E85)</f>
        <v>0</v>
      </c>
      <c r="G86" s="69" t="e">
        <f>SUM(AM65:AM85)</f>
        <v>#DIV/0!</v>
      </c>
      <c r="H86" s="69" t="e">
        <f t="shared" ref="H86:P86" si="65">SUM(AN65:AN85)</f>
        <v>#DIV/0!</v>
      </c>
      <c r="I86" s="69" t="e">
        <f t="shared" si="65"/>
        <v>#DIV/0!</v>
      </c>
      <c r="J86" s="69" t="e">
        <f t="shared" si="65"/>
        <v>#DIV/0!</v>
      </c>
      <c r="K86" s="69" t="e">
        <f t="shared" si="65"/>
        <v>#DIV/0!</v>
      </c>
      <c r="L86" s="69" t="e">
        <f t="shared" si="65"/>
        <v>#DIV/0!</v>
      </c>
      <c r="M86" s="69" t="e">
        <f t="shared" si="65"/>
        <v>#DIV/0!</v>
      </c>
      <c r="N86" s="69" t="e">
        <f t="shared" si="65"/>
        <v>#DIV/0!</v>
      </c>
      <c r="O86" s="69" t="e">
        <f t="shared" si="65"/>
        <v>#DIV/0!</v>
      </c>
      <c r="P86" s="69" t="e">
        <f t="shared" si="65"/>
        <v>#DIV/0!</v>
      </c>
      <c r="Q86" s="105" t="e">
        <f>SUM(G86:O86)</f>
        <v>#DIV/0!</v>
      </c>
      <c r="AB86" s="88"/>
      <c r="AC86" s="88"/>
      <c r="AD86" s="88"/>
      <c r="AE86" s="88"/>
      <c r="AF86" s="88"/>
      <c r="AG86" s="88"/>
      <c r="AH86" s="88"/>
      <c r="AI86" s="88"/>
      <c r="AJ86" s="88"/>
      <c r="AM86" s="91" t="e">
        <f>SUM(AM65:AM85)</f>
        <v>#DIV/0!</v>
      </c>
      <c r="AN86" s="91" t="e">
        <f t="shared" ref="AN86:AW86" si="66">SUM(AN65:AN85)</f>
        <v>#DIV/0!</v>
      </c>
      <c r="AO86" s="91" t="e">
        <f t="shared" si="66"/>
        <v>#DIV/0!</v>
      </c>
      <c r="AP86" s="91" t="e">
        <f t="shared" si="66"/>
        <v>#DIV/0!</v>
      </c>
      <c r="AQ86" s="91" t="e">
        <f t="shared" si="66"/>
        <v>#DIV/0!</v>
      </c>
      <c r="AR86" s="91" t="e">
        <f t="shared" si="66"/>
        <v>#DIV/0!</v>
      </c>
      <c r="AS86" s="91" t="e">
        <f t="shared" si="66"/>
        <v>#DIV/0!</v>
      </c>
      <c r="AT86" s="91" t="e">
        <f t="shared" si="66"/>
        <v>#DIV/0!</v>
      </c>
      <c r="AU86" s="91" t="e">
        <f t="shared" si="66"/>
        <v>#DIV/0!</v>
      </c>
      <c r="AV86" s="91" t="e">
        <f t="shared" si="66"/>
        <v>#DIV/0!</v>
      </c>
      <c r="AW86" s="91" t="e">
        <f t="shared" si="66"/>
        <v>#DIV/0!</v>
      </c>
    </row>
  </sheetData>
  <sheetCalcPr fullCalcOnLoad="1"/>
  <sheetProtection sheet="1" objects="1" scenarios="1"/>
  <mergeCells count="3">
    <mergeCell ref="G5:P5"/>
    <mergeCell ref="G30:P30"/>
    <mergeCell ref="G63:P63"/>
  </mergeCells>
  <phoneticPr fontId="116" type="noConversion"/>
  <conditionalFormatting sqref="F65:F85">
    <cfRule type="cellIs" dxfId="9" priority="4" operator="greaterThan">
      <formula>100</formula>
    </cfRule>
    <cfRule type="cellIs" dxfId="8" priority="3" operator="lessThan">
      <formula>100</formula>
    </cfRule>
  </conditionalFormatting>
  <conditionalFormatting sqref="F32:F50 F7:F25">
    <cfRule type="cellIs" dxfId="7" priority="2" operator="greaterThan">
      <formula>100</formula>
    </cfRule>
    <cfRule type="cellIs" dxfId="6" priority="1" operator="lessThan">
      <formula>100</formula>
    </cfRule>
  </conditionalFormatting>
  <pageMargins left="0.7" right="0.7" top="0.75" bottom="0.75" header="0.3" footer="0.3"/>
  <headerFooter>
    <oddFooter>&amp;L&amp;A&amp;C&amp;D&amp;R&amp;P of &amp;N</oddFooter>
  </headerFooter>
  <rowBreaks count="1" manualBreakCount="1">
    <brk id="52" min="1" max="15" man="1"/>
  </rowBreaks>
  <drawing r:id="rId1"/>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theme="7" tint="0.39997558519241921"/>
  </sheetPr>
  <dimension ref="B1:Y48"/>
  <sheetViews>
    <sheetView showGridLines="0" showRowColHeaders="0" workbookViewId="0">
      <selection activeCell="O14" sqref="O14"/>
    </sheetView>
  </sheetViews>
  <sheetFormatPr baseColWidth="10" defaultColWidth="8.83203125" defaultRowHeight="14"/>
  <cols>
    <col min="1" max="1" width="4.5" customWidth="1"/>
    <col min="6" max="6" width="13.5" style="2" customWidth="1"/>
    <col min="7" max="7" width="7.1640625" customWidth="1"/>
    <col min="8" max="8" width="14.83203125" style="2" customWidth="1"/>
    <col min="9" max="9" width="6.6640625" customWidth="1"/>
    <col min="10" max="10" width="15.6640625" style="2" customWidth="1"/>
    <col min="12" max="12" width="10" customWidth="1"/>
    <col min="13" max="13" width="10.83203125" customWidth="1"/>
  </cols>
  <sheetData>
    <row r="1" spans="2:18" ht="63.75" customHeight="1"/>
    <row r="2" spans="2:18" ht="29.25" customHeight="1">
      <c r="B2" s="521" t="str">
        <f>'About My Ranch'!F19&amp;" PRODUCTION INDICATORS"</f>
        <v xml:space="preserve"> PRODUCTION INDICATORS</v>
      </c>
      <c r="M2" s="927"/>
      <c r="N2" s="927"/>
    </row>
    <row r="4" spans="2:18" ht="36">
      <c r="F4" s="578" t="s">
        <v>532</v>
      </c>
      <c r="G4" s="572"/>
      <c r="H4" s="577" t="s">
        <v>536</v>
      </c>
      <c r="J4" s="579" t="s">
        <v>533</v>
      </c>
      <c r="O4" s="831" t="s">
        <v>601</v>
      </c>
    </row>
    <row r="5" spans="2:18" ht="24" customHeight="1">
      <c r="B5" s="572" t="s">
        <v>531</v>
      </c>
      <c r="F5" s="574" t="e">
        <f>('1. Cow-Calf_InputForm'!F25+'1. Cow-Calf_InputForm'!F27)/('1. Cow-Calf_InputForm'!D25+'1. Cow-Calf_InputForm'!D27)</f>
        <v>#DIV/0!</v>
      </c>
      <c r="G5" s="572"/>
      <c r="H5" s="575">
        <v>0.95</v>
      </c>
      <c r="J5" s="926" t="e">
        <f>IF(F5&gt;=H5,"Meets or Exceeds Suggested Target","Below Suggested Target")</f>
        <v>#DIV/0!</v>
      </c>
      <c r="K5" s="926"/>
      <c r="L5" s="926"/>
      <c r="M5" s="926"/>
      <c r="O5" s="832" t="s">
        <v>602</v>
      </c>
      <c r="P5" s="832"/>
      <c r="Q5" s="832"/>
      <c r="R5" s="832"/>
    </row>
    <row r="6" spans="2:18" ht="7.5" customHeight="1">
      <c r="B6" s="401"/>
      <c r="O6" s="832"/>
      <c r="P6" s="832"/>
      <c r="Q6" s="832"/>
      <c r="R6" s="832"/>
    </row>
    <row r="7" spans="2:18" ht="18">
      <c r="B7" s="572" t="s">
        <v>534</v>
      </c>
      <c r="F7" s="576" t="e">
        <f>1-F5</f>
        <v>#DIV/0!</v>
      </c>
      <c r="H7" s="576">
        <v>0.05</v>
      </c>
      <c r="J7" s="926" t="e">
        <f>IF(F7&lt;=H7,"Meets or Exceeds Suggested Target","Below Suggested Target")</f>
        <v>#DIV/0!</v>
      </c>
      <c r="K7" s="926"/>
      <c r="L7" s="926"/>
      <c r="M7" s="926"/>
      <c r="O7" s="832" t="s">
        <v>603</v>
      </c>
      <c r="P7" s="832"/>
      <c r="Q7" s="832"/>
      <c r="R7" s="832"/>
    </row>
    <row r="8" spans="2:18" ht="7.5" customHeight="1">
      <c r="B8" s="401"/>
      <c r="O8" s="832"/>
      <c r="P8" s="832"/>
      <c r="Q8" s="832"/>
      <c r="R8" s="832"/>
    </row>
    <row r="9" spans="2:18" ht="18">
      <c r="B9" s="572" t="s">
        <v>535</v>
      </c>
      <c r="F9" s="574" t="e">
        <f>'1. Cow-Calf_InputForm'!D71/('1. Cow-Calf_InputForm'!H25+'1. Cow-Calf_InputForm'!H27)</f>
        <v>#DIV/0!</v>
      </c>
      <c r="H9" s="576">
        <v>0.11</v>
      </c>
      <c r="J9" s="926" t="e">
        <f>IF(F9&gt;=H9, "Meets or Exceeds Suggested Target", "Below Suggested Target")</f>
        <v>#DIV/0!</v>
      </c>
      <c r="K9" s="926"/>
      <c r="L9" s="926"/>
      <c r="M9" s="926"/>
      <c r="O9" s="832" t="s">
        <v>604</v>
      </c>
      <c r="P9" s="832"/>
      <c r="Q9" s="832"/>
      <c r="R9" s="832"/>
    </row>
    <row r="10" spans="2:18" ht="7.5" customHeight="1">
      <c r="B10" s="401"/>
      <c r="O10" s="832"/>
      <c r="P10" s="832"/>
      <c r="Q10" s="832"/>
      <c r="R10" s="832"/>
    </row>
    <row r="11" spans="2:18" ht="18">
      <c r="B11" s="572" t="s">
        <v>537</v>
      </c>
      <c r="F11" s="574" t="e">
        <f>('1. Cow-Calf_InputForm'!D44+'1. Cow-Calf_InputForm'!F44)/('1. Cow-Calf_InputForm'!F29)</f>
        <v>#DIV/0!</v>
      </c>
      <c r="H11" s="576">
        <v>0.98</v>
      </c>
      <c r="J11" s="926" t="e">
        <f>IF(F11&gt;=H11, "Meets or Exceeds Suggested Target", "Below Suggested Target")</f>
        <v>#DIV/0!</v>
      </c>
      <c r="K11" s="926"/>
      <c r="L11" s="926"/>
      <c r="M11" s="926"/>
      <c r="O11" s="832" t="s">
        <v>605</v>
      </c>
      <c r="P11" s="832"/>
      <c r="Q11" s="832"/>
      <c r="R11" s="832"/>
    </row>
    <row r="12" spans="2:18" ht="6" customHeight="1">
      <c r="B12" s="401"/>
      <c r="O12" s="832"/>
      <c r="P12" s="832"/>
      <c r="Q12" s="832"/>
      <c r="R12" s="832"/>
    </row>
    <row r="13" spans="2:18" ht="18">
      <c r="B13" s="572" t="s">
        <v>538</v>
      </c>
      <c r="F13" s="822" t="e">
        <f>('1. Cow-Calf_InputForm'!D50+'1. Cow-Calf_InputForm'!F50)/('1. Cow-Calf_InputForm'!D25+'1. Cow-Calf_InputForm'!D27)</f>
        <v>#DIV/0!</v>
      </c>
      <c r="H13" s="576">
        <v>0.93</v>
      </c>
      <c r="J13" s="926" t="e">
        <f>IF(F13&gt;=H13, "Meets or Exceeds Suggested Target", "Below Suggested Target")</f>
        <v>#DIV/0!</v>
      </c>
      <c r="K13" s="926"/>
      <c r="L13" s="926"/>
      <c r="M13" s="926"/>
      <c r="O13" s="832" t="s">
        <v>606</v>
      </c>
      <c r="P13" s="832"/>
      <c r="Q13" s="832"/>
      <c r="R13" s="832"/>
    </row>
    <row r="14" spans="2:18" ht="8.25" customHeight="1">
      <c r="B14" s="401"/>
      <c r="O14" s="832"/>
      <c r="P14" s="832"/>
      <c r="Q14" s="832"/>
      <c r="R14" s="832"/>
    </row>
    <row r="15" spans="2:18" ht="18">
      <c r="B15" s="572" t="s">
        <v>539</v>
      </c>
      <c r="F15" s="580" t="e">
        <f>1-(('1. Cow-Calf_InputForm'!D50+'1. Cow-Calf_InputForm'!F50)/('1. Cow-Calf_InputForm'!D44+'1. Cow-Calf_InputForm'!F44+'1. Cow-Calf_InputForm'!D46+'1. Cow-Calf_InputForm'!F46))</f>
        <v>#DIV/0!</v>
      </c>
      <c r="H15" s="576">
        <v>0.02</v>
      </c>
      <c r="J15" s="926" t="e">
        <f>IF(F15&lt;=H15, "Meets or Exceeds Suggested Target", "Below Suggested Target")</f>
        <v>#DIV/0!</v>
      </c>
      <c r="K15" s="926"/>
      <c r="L15" s="926"/>
      <c r="M15" s="926"/>
    </row>
    <row r="16" spans="2:18" ht="6.75" customHeight="1">
      <c r="B16" s="401"/>
    </row>
    <row r="17" spans="2:13" ht="18">
      <c r="B17" s="572" t="s">
        <v>540</v>
      </c>
      <c r="F17" s="573" t="e">
        <f>Data!J41</f>
        <v>#DIV/0!</v>
      </c>
      <c r="H17" s="582" t="str">
        <f>25&amp;":"&amp;1</f>
        <v>25:1</v>
      </c>
      <c r="J17" s="926" t="e">
        <f>IF(F17&gt;=H17, "Exceeds Suggested Target", "Below Suggested Target")</f>
        <v>#DIV/0!</v>
      </c>
      <c r="K17" s="926"/>
      <c r="L17" s="926"/>
      <c r="M17" s="926"/>
    </row>
    <row r="18" spans="2:13" ht="7.5" customHeight="1"/>
    <row r="19" spans="2:13" ht="17.25" customHeight="1">
      <c r="B19" s="572" t="s">
        <v>545</v>
      </c>
      <c r="F19" s="573">
        <f>'1. Cow-Calf_InputForm'!D8-'1. Cow-Calf_InputForm'!D6</f>
        <v>0</v>
      </c>
      <c r="H19" s="573">
        <v>63</v>
      </c>
      <c r="J19" s="926" t="str">
        <f>IF(F19&gt;=H19,"Meets or Exceeds Suggested Target","Below Suggested Target")</f>
        <v>Below Suggested Target</v>
      </c>
      <c r="K19" s="926"/>
      <c r="L19" s="926"/>
      <c r="M19" s="926"/>
    </row>
    <row r="20" spans="2:13" ht="7.5" customHeight="1"/>
    <row r="21" spans="2:13" ht="18">
      <c r="B21" s="572" t="s">
        <v>544</v>
      </c>
      <c r="F21" s="584" t="e">
        <f>AVERAGE('1. Cow-Calf_InputForm'!D16,'1. Cow-Calf_InputForm'!F16)-AVERAGE('1. Cow-Calf_InputForm'!D12,'1. Cow-Calf_InputForm'!F12)</f>
        <v>#DIV/0!</v>
      </c>
      <c r="H21" s="573">
        <v>180</v>
      </c>
      <c r="J21" s="926" t="e">
        <f>IF(F21&gt;=H21, "Exceeds Suggested Target", "Below Suggested Target")</f>
        <v>#DIV/0!</v>
      </c>
      <c r="K21" s="926"/>
      <c r="L21" s="926"/>
      <c r="M21" s="926"/>
    </row>
    <row r="22" spans="2:13" ht="7.5" customHeight="1"/>
    <row r="23" spans="2:13" ht="18">
      <c r="B23" s="572" t="s">
        <v>546</v>
      </c>
      <c r="F23" s="583" t="e">
        <f>'Cow-calf CoP'!G5/'Cow-calf CoP'!G3</f>
        <v>#DIV/0!</v>
      </c>
    </row>
    <row r="26" spans="2:13" ht="51" customHeight="1">
      <c r="B26" s="593" t="s">
        <v>547</v>
      </c>
    </row>
    <row r="35" spans="2:25" ht="18">
      <c r="F35" s="573" t="s">
        <v>141</v>
      </c>
      <c r="G35" s="572"/>
      <c r="H35" s="573" t="s">
        <v>410</v>
      </c>
    </row>
    <row r="36" spans="2:25" ht="18.75" customHeight="1">
      <c r="B36" s="572"/>
      <c r="C36" s="572"/>
      <c r="D36" s="572"/>
      <c r="E36" s="592" t="s">
        <v>561</v>
      </c>
      <c r="F36" s="630"/>
      <c r="G36" s="602"/>
      <c r="H36" s="630"/>
      <c r="I36" s="586"/>
      <c r="J36" s="586"/>
    </row>
    <row r="37" spans="2:25" ht="17.25" customHeight="1">
      <c r="B37" s="591" t="s">
        <v>549</v>
      </c>
      <c r="C37" s="572"/>
      <c r="D37" s="572"/>
      <c r="E37" s="589"/>
      <c r="F37" s="928" t="s">
        <v>559</v>
      </c>
      <c r="G37" s="929"/>
      <c r="H37" s="929"/>
      <c r="I37" s="586"/>
      <c r="J37" s="573" t="s">
        <v>375</v>
      </c>
      <c r="X37" s="571" t="s">
        <v>570</v>
      </c>
    </row>
    <row r="38" spans="2:25" ht="18" customHeight="1">
      <c r="C38" s="590" t="s">
        <v>563</v>
      </c>
      <c r="D38" s="572"/>
      <c r="E38" s="589"/>
      <c r="F38" s="631"/>
      <c r="G38" s="602"/>
      <c r="H38" s="631"/>
      <c r="I38" s="585"/>
      <c r="J38" s="601" t="str">
        <f>IF(F38="","",F38+H38)</f>
        <v/>
      </c>
      <c r="X38" s="595" t="s">
        <v>562</v>
      </c>
      <c r="Y38" s="596" t="e">
        <f>J38/($J$38+$J$40+$J$42+$J$44)</f>
        <v>#VALUE!</v>
      </c>
    </row>
    <row r="39" spans="2:25" ht="6" customHeight="1">
      <c r="C39" s="590"/>
      <c r="D39" s="572"/>
      <c r="E39" s="589"/>
      <c r="F39" s="603"/>
      <c r="G39" s="602"/>
      <c r="H39" s="603"/>
      <c r="I39" s="585"/>
      <c r="J39" s="587"/>
      <c r="X39" s="597"/>
      <c r="Y39" s="571"/>
    </row>
    <row r="40" spans="2:25" ht="18" customHeight="1">
      <c r="C40" s="590" t="s">
        <v>564</v>
      </c>
      <c r="D40" s="572"/>
      <c r="E40" s="589"/>
      <c r="F40" s="631"/>
      <c r="G40" s="602"/>
      <c r="H40" s="631"/>
      <c r="I40" s="585"/>
      <c r="J40" s="601" t="str">
        <f>IF(F40="","",F40+H40)</f>
        <v/>
      </c>
      <c r="X40" s="598" t="s">
        <v>565</v>
      </c>
      <c r="Y40" s="596" t="e">
        <f>J40/($J$38+$J$40+$J$42+$J$44)</f>
        <v>#VALUE!</v>
      </c>
    </row>
    <row r="41" spans="2:25" ht="7.5" customHeight="1">
      <c r="C41" s="590"/>
      <c r="D41" s="572"/>
      <c r="E41" s="589"/>
      <c r="F41" s="603"/>
      <c r="G41" s="602"/>
      <c r="H41" s="603"/>
      <c r="I41" s="585"/>
      <c r="J41" s="587"/>
      <c r="X41" s="597"/>
      <c r="Y41" s="571"/>
    </row>
    <row r="42" spans="2:25" ht="18" customHeight="1">
      <c r="C42" s="590" t="s">
        <v>569</v>
      </c>
      <c r="D42" s="572"/>
      <c r="E42" s="589"/>
      <c r="F42" s="631"/>
      <c r="G42" s="602"/>
      <c r="H42" s="631"/>
      <c r="I42" s="585"/>
      <c r="J42" s="601" t="str">
        <f>IF(F42="","",F42+H42)</f>
        <v/>
      </c>
      <c r="X42" s="598" t="s">
        <v>566</v>
      </c>
      <c r="Y42" s="596" t="e">
        <f>J42/($J$38+$J$40+$J$42+$J$44)</f>
        <v>#VALUE!</v>
      </c>
    </row>
    <row r="43" spans="2:25" ht="6.75" customHeight="1">
      <c r="C43" s="590"/>
      <c r="D43" s="572"/>
      <c r="E43" s="589"/>
      <c r="F43" s="603"/>
      <c r="G43" s="602"/>
      <c r="H43" s="603"/>
      <c r="I43" s="585"/>
      <c r="J43" s="587"/>
      <c r="X43" s="597"/>
      <c r="Y43" s="571"/>
    </row>
    <row r="44" spans="2:25" ht="18" customHeight="1">
      <c r="C44" s="590" t="s">
        <v>568</v>
      </c>
      <c r="D44" s="572"/>
      <c r="E44" s="589"/>
      <c r="F44" s="631"/>
      <c r="G44" s="602"/>
      <c r="H44" s="631"/>
      <c r="I44" s="585"/>
      <c r="J44" s="601" t="str">
        <f>IF(F44="","",F44+H44)</f>
        <v/>
      </c>
      <c r="X44" s="598" t="s">
        <v>567</v>
      </c>
      <c r="Y44" s="596" t="e">
        <f>J44/($J$38+$J$40+$J$42+$J$44)</f>
        <v>#VALUE!</v>
      </c>
    </row>
    <row r="45" spans="2:25" ht="7.5" customHeight="1">
      <c r="B45" s="590"/>
      <c r="C45" s="572"/>
      <c r="D45" s="572"/>
      <c r="E45" s="589"/>
      <c r="F45" s="603"/>
      <c r="G45" s="602"/>
      <c r="H45" s="603"/>
      <c r="I45" s="585"/>
      <c r="J45" s="599"/>
      <c r="K45" s="594"/>
      <c r="L45" s="594"/>
    </row>
    <row r="46" spans="2:25" ht="18" customHeight="1">
      <c r="C46" s="572"/>
      <c r="D46" s="572"/>
      <c r="E46" s="592" t="s">
        <v>560</v>
      </c>
      <c r="F46" s="630"/>
      <c r="G46" s="602"/>
      <c r="H46" s="630"/>
      <c r="I46" s="585"/>
      <c r="J46" s="585"/>
    </row>
    <row r="47" spans="2:25" ht="6" customHeight="1">
      <c r="B47" s="401"/>
      <c r="C47" s="401"/>
      <c r="D47" s="401"/>
      <c r="E47" s="401"/>
    </row>
    <row r="48" spans="2:25" ht="19.5" customHeight="1">
      <c r="B48" s="572" t="s">
        <v>548</v>
      </c>
      <c r="C48" s="401"/>
      <c r="D48" s="401"/>
      <c r="E48" s="401"/>
      <c r="F48" s="600">
        <f>F46-F36</f>
        <v>0</v>
      </c>
      <c r="H48" s="600">
        <f>H46-H36</f>
        <v>0</v>
      </c>
    </row>
  </sheetData>
  <sheetProtection sheet="1" objects="1" scenarios="1"/>
  <mergeCells count="11">
    <mergeCell ref="J15:M15"/>
    <mergeCell ref="J17:M17"/>
    <mergeCell ref="J19:M19"/>
    <mergeCell ref="J21:M21"/>
    <mergeCell ref="F37:H37"/>
    <mergeCell ref="J13:M13"/>
    <mergeCell ref="M2:N2"/>
    <mergeCell ref="J5:M5"/>
    <mergeCell ref="J7:M7"/>
    <mergeCell ref="J9:M9"/>
    <mergeCell ref="J11:M11"/>
  </mergeCells>
  <phoneticPr fontId="116" type="noConversion"/>
  <conditionalFormatting sqref="J17">
    <cfRule type="expression" dxfId="5" priority="11">
      <formula>NOT(ISERROR(SEARCH("Below",J17)))</formula>
    </cfRule>
    <cfRule type="expression" dxfId="4" priority="12">
      <formula>NOT(ISERROR(SEARCH("Exceeds",J17)))</formula>
    </cfRule>
  </conditionalFormatting>
  <conditionalFormatting sqref="J5:J15 J19">
    <cfRule type="expression" dxfId="3" priority="9">
      <formula>NOT(ISERROR(SEARCH("Exceeds",J5)))</formula>
    </cfRule>
    <cfRule type="expression" dxfId="2" priority="10">
      <formula>NOT(ISERROR(SEARCH("Below",J5)))</formula>
    </cfRule>
  </conditionalFormatting>
  <conditionalFormatting sqref="J21:M21">
    <cfRule type="expression" dxfId="1" priority="2">
      <formula>NOT(ISERROR(SEARCH("Exceeds",J21)))</formula>
    </cfRule>
    <cfRule type="expression" dxfId="0" priority="1">
      <formula>NOT(ISERROR(SEARCH("Below",J21)))</formula>
    </cfRule>
  </conditionalFormatting>
  <pageMargins left="0.7" right="0.7" top="0.75" bottom="0.75" header="0.3" footer="0.3"/>
  <headerFooter>
    <oddFooter>&amp;L&amp;A&amp;C&amp;D&amp;R&amp;P of &amp;N</oddFooter>
  </headerFooter>
  <rowBreaks count="1" manualBreakCount="1">
    <brk id="25" min="1" max="18" man="1"/>
  </rowBreaks>
  <drawing r:id="rId1"/>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rgb="FFFF0000"/>
    <pageSetUpPr fitToPage="1"/>
  </sheetPr>
  <dimension ref="B1:K49"/>
  <sheetViews>
    <sheetView showGridLines="0" showRowColHeaders="0" workbookViewId="0">
      <selection activeCell="B2" sqref="B2"/>
    </sheetView>
  </sheetViews>
  <sheetFormatPr baseColWidth="10" defaultColWidth="8.83203125" defaultRowHeight="14"/>
  <cols>
    <col min="1" max="1" width="5.33203125" style="6" customWidth="1"/>
    <col min="2" max="2" width="8.83203125" style="6"/>
    <col min="3" max="3" width="15.6640625" style="6" customWidth="1"/>
    <col min="4" max="4" width="8.1640625" style="6" customWidth="1"/>
    <col min="5" max="5" width="8.83203125" style="6"/>
    <col min="6" max="6" width="7.1640625" style="6" customWidth="1"/>
    <col min="7" max="7" width="10.5" style="6" customWidth="1"/>
    <col min="8" max="8" width="12" style="7" customWidth="1"/>
    <col min="9" max="9" width="13.1640625" style="6" customWidth="1"/>
    <col min="10" max="16384" width="8.83203125" style="6"/>
  </cols>
  <sheetData>
    <row r="1" spans="2:9" ht="68.25" customHeight="1">
      <c r="B1" s="57" t="str">
        <f>'1. Cow-Calf_InputForm'!F3&amp;" COW-CALF - COST OF PRODUCTION"</f>
        <v>0 COW-CALF - COST OF PRODUCTION</v>
      </c>
      <c r="F1" s="7"/>
      <c r="G1" s="8"/>
      <c r="H1" s="10"/>
    </row>
    <row r="2" spans="2:9">
      <c r="B2" s="833"/>
      <c r="F2" s="7"/>
    </row>
    <row r="3" spans="2:9">
      <c r="B3" s="5" t="s">
        <v>436</v>
      </c>
      <c r="F3" s="7"/>
      <c r="G3" s="7">
        <f>'1. Cow-Calf_InputForm'!H29</f>
        <v>0</v>
      </c>
    </row>
    <row r="4" spans="2:9">
      <c r="B4" s="5" t="s">
        <v>40</v>
      </c>
      <c r="F4" s="7"/>
      <c r="G4" s="11">
        <f>'1. Cow-Calf_InputForm'!D50+'1. Cow-Calf_InputForm'!F50</f>
        <v>0</v>
      </c>
    </row>
    <row r="5" spans="2:9">
      <c r="B5" s="5" t="s">
        <v>39</v>
      </c>
      <c r="F5" s="7"/>
      <c r="G5" s="522">
        <f>Data!J23</f>
        <v>0</v>
      </c>
    </row>
    <row r="6" spans="2:9">
      <c r="B6" s="5" t="s">
        <v>38</v>
      </c>
      <c r="F6" s="7"/>
      <c r="G6" s="11" t="e">
        <f>G5/G4</f>
        <v>#DIV/0!</v>
      </c>
    </row>
    <row r="7" spans="2:9">
      <c r="B7" s="5" t="s">
        <v>37</v>
      </c>
      <c r="F7" s="7"/>
      <c r="G7" s="12" t="e">
        <f>G4/('1. Cow-Calf_InputForm'!D25+'1. Cow-Calf_InputForm'!D27)</f>
        <v>#DIV/0!</v>
      </c>
    </row>
    <row r="8" spans="2:9">
      <c r="F8" s="7"/>
    </row>
    <row r="9" spans="2:9">
      <c r="B9" s="5" t="s">
        <v>36</v>
      </c>
      <c r="C9" s="5"/>
      <c r="D9" s="5"/>
      <c r="E9" s="5"/>
      <c r="F9" s="9"/>
      <c r="G9" s="9" t="s">
        <v>11</v>
      </c>
      <c r="H9" s="9" t="s">
        <v>10</v>
      </c>
      <c r="I9" s="9" t="s">
        <v>9</v>
      </c>
    </row>
    <row r="10" spans="2:9">
      <c r="B10" s="6" t="s">
        <v>49</v>
      </c>
      <c r="C10" s="5"/>
      <c r="D10" s="523">
        <f>'1. Cow-Calf_InputForm'!D56+'1. Cow-Calf_InputForm'!J56</f>
        <v>0</v>
      </c>
      <c r="E10" s="6" t="s">
        <v>61</v>
      </c>
      <c r="F10" s="9"/>
      <c r="G10" s="13">
        <f>Data!D20+Data!E20</f>
        <v>0</v>
      </c>
      <c r="H10" s="13"/>
      <c r="I10" s="14"/>
    </row>
    <row r="11" spans="2:9">
      <c r="B11" s="6" t="s">
        <v>105</v>
      </c>
      <c r="C11" s="5"/>
      <c r="D11" s="523">
        <f>'1. Cow-Calf_InputForm'!D58+'1. Cow-Calf_InputForm'!J58</f>
        <v>0</v>
      </c>
      <c r="E11" s="6" t="s">
        <v>61</v>
      </c>
      <c r="F11" s="9"/>
      <c r="G11" s="13">
        <f>Data!D21+Data!E21</f>
        <v>0</v>
      </c>
      <c r="H11" s="13"/>
      <c r="I11" s="14"/>
    </row>
    <row r="12" spans="2:9">
      <c r="B12" s="6" t="s">
        <v>117</v>
      </c>
      <c r="C12" s="5"/>
      <c r="D12" s="523">
        <f>'1. Cow-Calf_InputForm'!D62+'1. Cow-Calf_InputForm'!J60</f>
        <v>0</v>
      </c>
      <c r="E12" s="6" t="s">
        <v>61</v>
      </c>
      <c r="F12" s="9"/>
      <c r="G12" s="13">
        <f>Data!D22+Data!E22</f>
        <v>0</v>
      </c>
      <c r="H12" s="13"/>
      <c r="I12" s="14"/>
    </row>
    <row r="13" spans="2:9">
      <c r="B13" s="5" t="s">
        <v>35</v>
      </c>
      <c r="C13" s="5"/>
      <c r="D13" s="5"/>
      <c r="E13" s="5"/>
      <c r="F13" s="9" t="s">
        <v>34</v>
      </c>
      <c r="G13" s="15">
        <f>SUM(G10:G12)</f>
        <v>0</v>
      </c>
      <c r="H13" s="16" t="e">
        <f>G13/$G$3</f>
        <v>#DIV/0!</v>
      </c>
      <c r="I13" s="16" t="e">
        <f>G13/$G$5</f>
        <v>#DIV/0!</v>
      </c>
    </row>
    <row r="14" spans="2:9">
      <c r="F14" s="7"/>
      <c r="G14" s="13"/>
      <c r="H14" s="14"/>
      <c r="I14" s="14"/>
    </row>
    <row r="15" spans="2:9">
      <c r="B15" s="5" t="s">
        <v>33</v>
      </c>
      <c r="C15" s="5"/>
      <c r="D15" s="5"/>
      <c r="E15" s="5"/>
      <c r="F15" s="9"/>
      <c r="G15" s="15" t="s">
        <v>11</v>
      </c>
      <c r="H15" s="16" t="s">
        <v>10</v>
      </c>
      <c r="I15" s="9" t="s">
        <v>9</v>
      </c>
    </row>
    <row r="16" spans="2:9">
      <c r="B16" s="6" t="s">
        <v>119</v>
      </c>
      <c r="F16" s="7"/>
      <c r="G16" s="13">
        <f>SUM('1. Cow-Calf_InputForm'!F91:F95)+SUM('1. Cow-Calf_InputForm'!P91:P95)</f>
        <v>0</v>
      </c>
      <c r="H16" s="14" t="e">
        <f t="shared" ref="H16:H21" si="0">G16/$G$3</f>
        <v>#DIV/0!</v>
      </c>
      <c r="I16" s="14" t="e">
        <f t="shared" ref="I16:I21" si="1">G16/$G$5</f>
        <v>#DIV/0!</v>
      </c>
    </row>
    <row r="17" spans="2:11">
      <c r="B17" s="6" t="s">
        <v>32</v>
      </c>
      <c r="F17" s="7"/>
      <c r="G17" s="13">
        <f>SUM('1. Cow-Calf_InputForm'!H103:H109)+SUM('1. Cow-Calf_InputForm'!T103:T109)</f>
        <v>0</v>
      </c>
      <c r="H17" s="14" t="e">
        <f t="shared" si="0"/>
        <v>#DIV/0!</v>
      </c>
      <c r="I17" s="14" t="e">
        <f t="shared" si="1"/>
        <v>#DIV/0!</v>
      </c>
    </row>
    <row r="18" spans="2:11">
      <c r="B18" s="6" t="s">
        <v>118</v>
      </c>
      <c r="F18" s="7"/>
      <c r="G18" s="13" t="e">
        <f>'10. Expenses'!E13</f>
        <v>#DIV/0!</v>
      </c>
      <c r="H18" s="14" t="e">
        <f t="shared" si="0"/>
        <v>#DIV/0!</v>
      </c>
      <c r="I18" s="14" t="e">
        <f t="shared" si="1"/>
        <v>#DIV/0!</v>
      </c>
    </row>
    <row r="19" spans="2:11">
      <c r="B19" s="6" t="s">
        <v>31</v>
      </c>
      <c r="F19" s="7"/>
      <c r="G19" s="13" t="e">
        <f>'10. Expenses'!E21</f>
        <v>#DIV/0!</v>
      </c>
      <c r="H19" s="14" t="e">
        <f t="shared" si="0"/>
        <v>#DIV/0!</v>
      </c>
      <c r="I19" s="14" t="e">
        <f t="shared" si="1"/>
        <v>#DIV/0!</v>
      </c>
    </row>
    <row r="20" spans="2:11">
      <c r="B20" s="6" t="s">
        <v>200</v>
      </c>
      <c r="F20" s="7"/>
      <c r="G20" s="13">
        <f>'10. Expenses'!E29</f>
        <v>0</v>
      </c>
      <c r="H20" s="14" t="e">
        <f t="shared" si="0"/>
        <v>#DIV/0!</v>
      </c>
      <c r="I20" s="14" t="e">
        <f t="shared" si="1"/>
        <v>#DIV/0!</v>
      </c>
    </row>
    <row r="21" spans="2:11">
      <c r="B21" s="6" t="s">
        <v>30</v>
      </c>
      <c r="F21" s="7"/>
      <c r="G21" s="13">
        <f>Data!D29</f>
        <v>0</v>
      </c>
      <c r="H21" s="14" t="e">
        <f t="shared" si="0"/>
        <v>#DIV/0!</v>
      </c>
      <c r="I21" s="14" t="e">
        <f t="shared" si="1"/>
        <v>#DIV/0!</v>
      </c>
    </row>
    <row r="22" spans="2:11">
      <c r="B22" s="5" t="s">
        <v>29</v>
      </c>
      <c r="C22" s="5"/>
      <c r="D22" s="5"/>
      <c r="E22" s="5"/>
      <c r="F22" s="9" t="s">
        <v>28</v>
      </c>
      <c r="G22" s="15" t="e">
        <f>SUM(G16:G21)</f>
        <v>#DIV/0!</v>
      </c>
      <c r="H22" s="16" t="e">
        <f>SUM(H16:H21)</f>
        <v>#DIV/0!</v>
      </c>
      <c r="I22" s="16" t="e">
        <f>SUM(I16:I21)</f>
        <v>#DIV/0!</v>
      </c>
    </row>
    <row r="23" spans="2:11">
      <c r="F23" s="7"/>
      <c r="G23" s="13"/>
      <c r="H23" s="14"/>
      <c r="I23" s="14"/>
    </row>
    <row r="24" spans="2:11">
      <c r="B24" s="5" t="s">
        <v>27</v>
      </c>
      <c r="C24" s="5"/>
      <c r="D24" s="5"/>
      <c r="E24" s="5"/>
      <c r="F24" s="9"/>
      <c r="G24" s="15" t="s">
        <v>11</v>
      </c>
      <c r="H24" s="16" t="s">
        <v>10</v>
      </c>
      <c r="I24" s="9" t="s">
        <v>9</v>
      </c>
    </row>
    <row r="25" spans="2:11">
      <c r="B25" s="6" t="s">
        <v>145</v>
      </c>
      <c r="F25" s="7"/>
      <c r="G25" s="13">
        <f>'10. Expenses'!E42</f>
        <v>0</v>
      </c>
      <c r="H25" s="14" t="e">
        <f t="shared" ref="H25:H35" si="2">G25/$G$3</f>
        <v>#DIV/0!</v>
      </c>
      <c r="I25" s="14" t="e">
        <f t="shared" ref="I25:I35" si="3">G25/$G$5</f>
        <v>#DIV/0!</v>
      </c>
      <c r="K25" s="117"/>
    </row>
    <row r="26" spans="2:11">
      <c r="B26" s="6" t="s">
        <v>26</v>
      </c>
      <c r="F26" s="7"/>
      <c r="G26" s="13">
        <f>'10. Expenses'!E55</f>
        <v>0</v>
      </c>
      <c r="H26" s="14" t="e">
        <f t="shared" si="2"/>
        <v>#DIV/0!</v>
      </c>
      <c r="I26" s="14" t="e">
        <f t="shared" si="3"/>
        <v>#DIV/0!</v>
      </c>
      <c r="K26" s="117"/>
    </row>
    <row r="27" spans="2:11">
      <c r="B27" s="6" t="s">
        <v>25</v>
      </c>
      <c r="F27" s="7"/>
      <c r="G27" s="13">
        <f>'10. Expenses'!E62</f>
        <v>0</v>
      </c>
      <c r="H27" s="14" t="e">
        <f t="shared" si="2"/>
        <v>#DIV/0!</v>
      </c>
      <c r="I27" s="14" t="e">
        <f t="shared" si="3"/>
        <v>#DIV/0!</v>
      </c>
      <c r="K27" s="117"/>
    </row>
    <row r="28" spans="2:11">
      <c r="B28" s="6" t="s">
        <v>24</v>
      </c>
      <c r="F28" s="7"/>
      <c r="G28" s="13" t="e">
        <f>'10. Expenses'!E75</f>
        <v>#DIV/0!</v>
      </c>
      <c r="H28" s="14" t="e">
        <f t="shared" si="2"/>
        <v>#DIV/0!</v>
      </c>
      <c r="I28" s="14" t="e">
        <f t="shared" si="3"/>
        <v>#DIV/0!</v>
      </c>
      <c r="K28" s="117"/>
    </row>
    <row r="29" spans="2:11">
      <c r="B29" s="6" t="s">
        <v>23</v>
      </c>
      <c r="F29" s="7"/>
      <c r="G29" s="13" t="e">
        <f>'10. Expenses'!E82</f>
        <v>#DIV/0!</v>
      </c>
      <c r="H29" s="14" t="e">
        <f t="shared" si="2"/>
        <v>#DIV/0!</v>
      </c>
      <c r="I29" s="14" t="e">
        <f t="shared" si="3"/>
        <v>#DIV/0!</v>
      </c>
      <c r="K29" s="117"/>
    </row>
    <row r="30" spans="2:11">
      <c r="B30" s="6" t="s">
        <v>22</v>
      </c>
      <c r="F30" s="7"/>
      <c r="G30" s="13">
        <f>'10. Expenses'!E87</f>
        <v>0</v>
      </c>
      <c r="H30" s="14" t="e">
        <f t="shared" si="2"/>
        <v>#DIV/0!</v>
      </c>
      <c r="I30" s="14" t="e">
        <f t="shared" si="3"/>
        <v>#DIV/0!</v>
      </c>
      <c r="K30" s="117"/>
    </row>
    <row r="31" spans="2:11">
      <c r="B31" s="6" t="s">
        <v>150</v>
      </c>
      <c r="F31" s="7"/>
      <c r="G31" s="13">
        <f>'11. Unpaid Labour'!G8</f>
        <v>0</v>
      </c>
      <c r="H31" s="14" t="e">
        <f t="shared" si="2"/>
        <v>#DIV/0!</v>
      </c>
      <c r="I31" s="14" t="e">
        <f t="shared" si="3"/>
        <v>#DIV/0!</v>
      </c>
      <c r="K31" s="117"/>
    </row>
    <row r="32" spans="2:11">
      <c r="B32" s="6" t="s">
        <v>21</v>
      </c>
      <c r="F32" s="7"/>
      <c r="G32" s="13" t="e">
        <f>'10. Expenses'!E97</f>
        <v>#DIV/0!</v>
      </c>
      <c r="H32" s="14" t="e">
        <f t="shared" si="2"/>
        <v>#DIV/0!</v>
      </c>
      <c r="I32" s="14" t="e">
        <f t="shared" si="3"/>
        <v>#DIV/0!</v>
      </c>
      <c r="K32" s="117"/>
    </row>
    <row r="33" spans="2:11">
      <c r="B33" s="6" t="s">
        <v>20</v>
      </c>
      <c r="F33" s="7"/>
      <c r="G33" s="13" t="e">
        <f>'12. Assets_for Depreciation'!G26+'12. Assets_for Depreciation'!G51+'12. Assets_for Depreciation'!G86</f>
        <v>#DIV/0!</v>
      </c>
      <c r="H33" s="14" t="e">
        <f t="shared" si="2"/>
        <v>#DIV/0!</v>
      </c>
      <c r="I33" s="14" t="e">
        <f t="shared" si="3"/>
        <v>#DIV/0!</v>
      </c>
      <c r="K33" s="117"/>
    </row>
    <row r="34" spans="2:11">
      <c r="B34" s="6" t="s">
        <v>19</v>
      </c>
      <c r="F34" s="7"/>
      <c r="G34" s="13">
        <f>'10. Expenses'!E102</f>
        <v>0</v>
      </c>
      <c r="H34" s="14" t="e">
        <f t="shared" si="2"/>
        <v>#DIV/0!</v>
      </c>
      <c r="I34" s="14" t="e">
        <f t="shared" si="3"/>
        <v>#DIV/0!</v>
      </c>
      <c r="K34" s="117"/>
    </row>
    <row r="35" spans="2:11">
      <c r="B35" s="5" t="s">
        <v>18</v>
      </c>
      <c r="C35" s="5"/>
      <c r="D35" s="5"/>
      <c r="E35" s="5"/>
      <c r="F35" s="9" t="s">
        <v>17</v>
      </c>
      <c r="G35" s="15" t="e">
        <f>SUM(G25:G34)</f>
        <v>#DIV/0!</v>
      </c>
      <c r="H35" s="16" t="e">
        <f t="shared" si="2"/>
        <v>#DIV/0!</v>
      </c>
      <c r="I35" s="16" t="e">
        <f t="shared" si="3"/>
        <v>#DIV/0!</v>
      </c>
      <c r="K35" s="117"/>
    </row>
    <row r="36" spans="2:11">
      <c r="F36" s="7"/>
      <c r="G36" s="13"/>
      <c r="H36" s="14"/>
      <c r="I36" s="14"/>
    </row>
    <row r="37" spans="2:11">
      <c r="B37" s="5" t="s">
        <v>16</v>
      </c>
      <c r="C37" s="5"/>
      <c r="D37" s="5"/>
      <c r="E37" s="5"/>
      <c r="F37" s="9"/>
      <c r="G37" s="15" t="s">
        <v>11</v>
      </c>
      <c r="H37" s="16" t="s">
        <v>10</v>
      </c>
      <c r="I37" s="9" t="s">
        <v>9</v>
      </c>
    </row>
    <row r="38" spans="2:11">
      <c r="B38" s="6" t="s">
        <v>15</v>
      </c>
      <c r="F38" s="7"/>
      <c r="G38" s="13" t="e">
        <f>'10. Expenses'!E108</f>
        <v>#DIV/0!</v>
      </c>
      <c r="H38" s="14" t="e">
        <f>G38/$G$3</f>
        <v>#DIV/0!</v>
      </c>
      <c r="I38" s="14" t="e">
        <f>G38/$G$5</f>
        <v>#DIV/0!</v>
      </c>
    </row>
    <row r="39" spans="2:11">
      <c r="B39" s="18" t="s">
        <v>189</v>
      </c>
      <c r="F39" s="7"/>
      <c r="G39" s="13" t="e">
        <f>'10. Expenses'!AI106</f>
        <v>#DIV/0!</v>
      </c>
      <c r="H39" s="14" t="e">
        <f>G39/$G$3</f>
        <v>#DIV/0!</v>
      </c>
      <c r="I39" s="14" t="e">
        <f>G39/$G$5</f>
        <v>#DIV/0!</v>
      </c>
    </row>
    <row r="40" spans="2:11">
      <c r="B40" s="18" t="s">
        <v>468</v>
      </c>
      <c r="F40" s="7"/>
      <c r="G40" s="13" t="e">
        <f>'10. Expenses'!AI112+'10. Expenses'!AI113</f>
        <v>#DIV/0!</v>
      </c>
      <c r="H40" s="14" t="e">
        <f>G40/$G$3</f>
        <v>#DIV/0!</v>
      </c>
      <c r="I40" s="14" t="e">
        <f>G40/$G$5</f>
        <v>#DIV/0!</v>
      </c>
    </row>
    <row r="41" spans="2:11">
      <c r="B41" s="5" t="s">
        <v>13</v>
      </c>
      <c r="C41" s="5"/>
      <c r="D41" s="5"/>
      <c r="E41" s="5"/>
      <c r="F41" s="9" t="s">
        <v>12</v>
      </c>
      <c r="G41" s="15" t="e">
        <f>SUM(G38:G40)</f>
        <v>#DIV/0!</v>
      </c>
      <c r="H41" s="16" t="e">
        <f>G41/$G$3</f>
        <v>#DIV/0!</v>
      </c>
      <c r="I41" s="16" t="e">
        <f>G41/$G$5</f>
        <v>#DIV/0!</v>
      </c>
    </row>
    <row r="42" spans="2:11">
      <c r="F42" s="7"/>
      <c r="G42" s="13"/>
      <c r="H42" s="14"/>
      <c r="I42" s="14"/>
    </row>
    <row r="43" spans="2:11">
      <c r="B43" s="5"/>
      <c r="C43" s="5"/>
      <c r="D43" s="5"/>
      <c r="E43" s="5"/>
      <c r="F43" s="9"/>
      <c r="G43" s="15" t="s">
        <v>11</v>
      </c>
      <c r="H43" s="16" t="s">
        <v>10</v>
      </c>
      <c r="I43" s="9" t="s">
        <v>9</v>
      </c>
    </row>
    <row r="44" spans="2:11">
      <c r="B44" s="5" t="s">
        <v>8</v>
      </c>
      <c r="C44" s="5"/>
      <c r="D44" s="5"/>
      <c r="E44" s="5"/>
      <c r="F44" s="9" t="s">
        <v>7</v>
      </c>
      <c r="G44" s="15" t="e">
        <f>G41+G35+G22</f>
        <v>#DIV/0!</v>
      </c>
      <c r="H44" s="16" t="e">
        <f>H41+H35+H22</f>
        <v>#DIV/0!</v>
      </c>
      <c r="I44" s="16" t="e">
        <f>I41+I35+I22</f>
        <v>#DIV/0!</v>
      </c>
    </row>
    <row r="45" spans="2:11">
      <c r="B45" s="5" t="s">
        <v>6</v>
      </c>
      <c r="C45" s="5"/>
      <c r="D45" s="5"/>
      <c r="E45" s="5"/>
      <c r="F45" s="9" t="s">
        <v>5</v>
      </c>
      <c r="G45" s="15" t="e">
        <f>G44-G31</f>
        <v>#DIV/0!</v>
      </c>
      <c r="H45" s="16" t="e">
        <f>H44-H31</f>
        <v>#DIV/0!</v>
      </c>
      <c r="I45" s="16" t="e">
        <f>I44-I31</f>
        <v>#DIV/0!</v>
      </c>
    </row>
    <row r="46" spans="2:11">
      <c r="B46" s="5" t="s">
        <v>4</v>
      </c>
      <c r="C46" s="5"/>
      <c r="D46" s="5"/>
      <c r="E46" s="5"/>
      <c r="F46" s="9" t="s">
        <v>3</v>
      </c>
      <c r="G46" s="15" t="e">
        <f>G13-G44</f>
        <v>#DIV/0!</v>
      </c>
      <c r="H46" s="16" t="e">
        <f>H13-H44</f>
        <v>#DIV/0!</v>
      </c>
      <c r="I46" s="16" t="e">
        <f>G46/G5</f>
        <v>#DIV/0!</v>
      </c>
    </row>
    <row r="47" spans="2:11">
      <c r="B47" s="5" t="s">
        <v>2</v>
      </c>
      <c r="C47" s="5"/>
      <c r="D47" s="5"/>
      <c r="E47" s="5"/>
      <c r="F47" s="9" t="s">
        <v>1</v>
      </c>
      <c r="G47" s="15" t="e">
        <f>G46+G31</f>
        <v>#DIV/0!</v>
      </c>
      <c r="H47" s="16" t="e">
        <f>H46+H31</f>
        <v>#DIV/0!</v>
      </c>
      <c r="I47" s="16" t="e">
        <f>I46+I31</f>
        <v>#DIV/0!</v>
      </c>
    </row>
    <row r="49" spans="2:8">
      <c r="B49" s="549" t="s">
        <v>615</v>
      </c>
      <c r="G49" s="551" t="e">
        <f>I44</f>
        <v>#DIV/0!</v>
      </c>
      <c r="H49" s="550" t="s">
        <v>479</v>
      </c>
    </row>
  </sheetData>
  <sheetCalcPr fullCalcOnLoad="1"/>
  <sheetProtection sheet="1" objects="1" scenarios="1"/>
  <pageMargins left="0.75" right="0.75" top="1" bottom="1" header="0.5" footer="0.5"/>
  <headerFooter alignWithMargins="0">
    <oddFooter>&amp;L&amp;A&amp;C&amp;D</oddFooter>
  </headerFooter>
  <drawing r:id="rId1"/>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theme="9"/>
    <pageSetUpPr fitToPage="1"/>
  </sheetPr>
  <dimension ref="B1:I51"/>
  <sheetViews>
    <sheetView showGridLines="0" showRowColHeaders="0" topLeftCell="A4" workbookViewId="0">
      <selection activeCell="G28" sqref="G28"/>
    </sheetView>
  </sheetViews>
  <sheetFormatPr baseColWidth="10" defaultColWidth="8.83203125" defaultRowHeight="14"/>
  <cols>
    <col min="1" max="1" width="4.1640625" style="18" customWidth="1"/>
    <col min="2" max="4" width="8.83203125" style="18"/>
    <col min="5" max="5" width="11.83203125" style="18" customWidth="1"/>
    <col min="6" max="6" width="10" style="18" customWidth="1"/>
    <col min="7" max="7" width="12.5" style="18" bestFit="1" customWidth="1"/>
    <col min="8" max="8" width="11" style="18" customWidth="1"/>
    <col min="9" max="9" width="13.5" style="18" bestFit="1" customWidth="1"/>
    <col min="10" max="259" width="8.83203125" style="18"/>
    <col min="260" max="260" width="10" style="18" customWidth="1"/>
    <col min="261" max="261" width="12.5" style="18" bestFit="1" customWidth="1"/>
    <col min="262" max="262" width="11" style="18" customWidth="1"/>
    <col min="263" max="263" width="13.5" style="18" bestFit="1" customWidth="1"/>
    <col min="264" max="515" width="8.83203125" style="18"/>
    <col min="516" max="516" width="10" style="18" customWidth="1"/>
    <col min="517" max="517" width="12.5" style="18" bestFit="1" customWidth="1"/>
    <col min="518" max="518" width="11" style="18" customWidth="1"/>
    <col min="519" max="519" width="13.5" style="18" bestFit="1" customWidth="1"/>
    <col min="520" max="771" width="8.83203125" style="18"/>
    <col min="772" max="772" width="10" style="18" customWidth="1"/>
    <col min="773" max="773" width="12.5" style="18" bestFit="1" customWidth="1"/>
    <col min="774" max="774" width="11" style="18" customWidth="1"/>
    <col min="775" max="775" width="13.5" style="18" bestFit="1" customWidth="1"/>
    <col min="776" max="1027" width="8.83203125" style="18"/>
    <col min="1028" max="1028" width="10" style="18" customWidth="1"/>
    <col min="1029" max="1029" width="12.5" style="18" bestFit="1" customWidth="1"/>
    <col min="1030" max="1030" width="11" style="18" customWidth="1"/>
    <col min="1031" max="1031" width="13.5" style="18" bestFit="1" customWidth="1"/>
    <col min="1032" max="1283" width="8.83203125" style="18"/>
    <col min="1284" max="1284" width="10" style="18" customWidth="1"/>
    <col min="1285" max="1285" width="12.5" style="18" bestFit="1" customWidth="1"/>
    <col min="1286" max="1286" width="11" style="18" customWidth="1"/>
    <col min="1287" max="1287" width="13.5" style="18" bestFit="1" customWidth="1"/>
    <col min="1288" max="1539" width="8.83203125" style="18"/>
    <col min="1540" max="1540" width="10" style="18" customWidth="1"/>
    <col min="1541" max="1541" width="12.5" style="18" bestFit="1" customWidth="1"/>
    <col min="1542" max="1542" width="11" style="18" customWidth="1"/>
    <col min="1543" max="1543" width="13.5" style="18" bestFit="1" customWidth="1"/>
    <col min="1544" max="1795" width="8.83203125" style="18"/>
    <col min="1796" max="1796" width="10" style="18" customWidth="1"/>
    <col min="1797" max="1797" width="12.5" style="18" bestFit="1" customWidth="1"/>
    <col min="1798" max="1798" width="11" style="18" customWidth="1"/>
    <col min="1799" max="1799" width="13.5" style="18" bestFit="1" customWidth="1"/>
    <col min="1800" max="2051" width="8.83203125" style="18"/>
    <col min="2052" max="2052" width="10" style="18" customWidth="1"/>
    <col min="2053" max="2053" width="12.5" style="18" bestFit="1" customWidth="1"/>
    <col min="2054" max="2054" width="11" style="18" customWidth="1"/>
    <col min="2055" max="2055" width="13.5" style="18" bestFit="1" customWidth="1"/>
    <col min="2056" max="2307" width="8.83203125" style="18"/>
    <col min="2308" max="2308" width="10" style="18" customWidth="1"/>
    <col min="2309" max="2309" width="12.5" style="18" bestFit="1" customWidth="1"/>
    <col min="2310" max="2310" width="11" style="18" customWidth="1"/>
    <col min="2311" max="2311" width="13.5" style="18" bestFit="1" customWidth="1"/>
    <col min="2312" max="2563" width="8.83203125" style="18"/>
    <col min="2564" max="2564" width="10" style="18" customWidth="1"/>
    <col min="2565" max="2565" width="12.5" style="18" bestFit="1" customWidth="1"/>
    <col min="2566" max="2566" width="11" style="18" customWidth="1"/>
    <col min="2567" max="2567" width="13.5" style="18" bestFit="1" customWidth="1"/>
    <col min="2568" max="2819" width="8.83203125" style="18"/>
    <col min="2820" max="2820" width="10" style="18" customWidth="1"/>
    <col min="2821" max="2821" width="12.5" style="18" bestFit="1" customWidth="1"/>
    <col min="2822" max="2822" width="11" style="18" customWidth="1"/>
    <col min="2823" max="2823" width="13.5" style="18" bestFit="1" customWidth="1"/>
    <col min="2824" max="3075" width="8.83203125" style="18"/>
    <col min="3076" max="3076" width="10" style="18" customWidth="1"/>
    <col min="3077" max="3077" width="12.5" style="18" bestFit="1" customWidth="1"/>
    <col min="3078" max="3078" width="11" style="18" customWidth="1"/>
    <col min="3079" max="3079" width="13.5" style="18" bestFit="1" customWidth="1"/>
    <col min="3080" max="3331" width="8.83203125" style="18"/>
    <col min="3332" max="3332" width="10" style="18" customWidth="1"/>
    <col min="3333" max="3333" width="12.5" style="18" bestFit="1" customWidth="1"/>
    <col min="3334" max="3334" width="11" style="18" customWidth="1"/>
    <col min="3335" max="3335" width="13.5" style="18" bestFit="1" customWidth="1"/>
    <col min="3336" max="3587" width="8.83203125" style="18"/>
    <col min="3588" max="3588" width="10" style="18" customWidth="1"/>
    <col min="3589" max="3589" width="12.5" style="18" bestFit="1" customWidth="1"/>
    <col min="3590" max="3590" width="11" style="18" customWidth="1"/>
    <col min="3591" max="3591" width="13.5" style="18" bestFit="1" customWidth="1"/>
    <col min="3592" max="3843" width="8.83203125" style="18"/>
    <col min="3844" max="3844" width="10" style="18" customWidth="1"/>
    <col min="3845" max="3845" width="12.5" style="18" bestFit="1" customWidth="1"/>
    <col min="3846" max="3846" width="11" style="18" customWidth="1"/>
    <col min="3847" max="3847" width="13.5" style="18" bestFit="1" customWidth="1"/>
    <col min="3848" max="4099" width="8.83203125" style="18"/>
    <col min="4100" max="4100" width="10" style="18" customWidth="1"/>
    <col min="4101" max="4101" width="12.5" style="18" bestFit="1" customWidth="1"/>
    <col min="4102" max="4102" width="11" style="18" customWidth="1"/>
    <col min="4103" max="4103" width="13.5" style="18" bestFit="1" customWidth="1"/>
    <col min="4104" max="4355" width="8.83203125" style="18"/>
    <col min="4356" max="4356" width="10" style="18" customWidth="1"/>
    <col min="4357" max="4357" width="12.5" style="18" bestFit="1" customWidth="1"/>
    <col min="4358" max="4358" width="11" style="18" customWidth="1"/>
    <col min="4359" max="4359" width="13.5" style="18" bestFit="1" customWidth="1"/>
    <col min="4360" max="4611" width="8.83203125" style="18"/>
    <col min="4612" max="4612" width="10" style="18" customWidth="1"/>
    <col min="4613" max="4613" width="12.5" style="18" bestFit="1" customWidth="1"/>
    <col min="4614" max="4614" width="11" style="18" customWidth="1"/>
    <col min="4615" max="4615" width="13.5" style="18" bestFit="1" customWidth="1"/>
    <col min="4616" max="4867" width="8.83203125" style="18"/>
    <col min="4868" max="4868" width="10" style="18" customWidth="1"/>
    <col min="4869" max="4869" width="12.5" style="18" bestFit="1" customWidth="1"/>
    <col min="4870" max="4870" width="11" style="18" customWidth="1"/>
    <col min="4871" max="4871" width="13.5" style="18" bestFit="1" customWidth="1"/>
    <col min="4872" max="5123" width="8.83203125" style="18"/>
    <col min="5124" max="5124" width="10" style="18" customWidth="1"/>
    <col min="5125" max="5125" width="12.5" style="18" bestFit="1" customWidth="1"/>
    <col min="5126" max="5126" width="11" style="18" customWidth="1"/>
    <col min="5127" max="5127" width="13.5" style="18" bestFit="1" customWidth="1"/>
    <col min="5128" max="5379" width="8.83203125" style="18"/>
    <col min="5380" max="5380" width="10" style="18" customWidth="1"/>
    <col min="5381" max="5381" width="12.5" style="18" bestFit="1" customWidth="1"/>
    <col min="5382" max="5382" width="11" style="18" customWidth="1"/>
    <col min="5383" max="5383" width="13.5" style="18" bestFit="1" customWidth="1"/>
    <col min="5384" max="5635" width="8.83203125" style="18"/>
    <col min="5636" max="5636" width="10" style="18" customWidth="1"/>
    <col min="5637" max="5637" width="12.5" style="18" bestFit="1" customWidth="1"/>
    <col min="5638" max="5638" width="11" style="18" customWidth="1"/>
    <col min="5639" max="5639" width="13.5" style="18" bestFit="1" customWidth="1"/>
    <col min="5640" max="5891" width="8.83203125" style="18"/>
    <col min="5892" max="5892" width="10" style="18" customWidth="1"/>
    <col min="5893" max="5893" width="12.5" style="18" bestFit="1" customWidth="1"/>
    <col min="5894" max="5894" width="11" style="18" customWidth="1"/>
    <col min="5895" max="5895" width="13.5" style="18" bestFit="1" customWidth="1"/>
    <col min="5896" max="6147" width="8.83203125" style="18"/>
    <col min="6148" max="6148" width="10" style="18" customWidth="1"/>
    <col min="6149" max="6149" width="12.5" style="18" bestFit="1" customWidth="1"/>
    <col min="6150" max="6150" width="11" style="18" customWidth="1"/>
    <col min="6151" max="6151" width="13.5" style="18" bestFit="1" customWidth="1"/>
    <col min="6152" max="6403" width="8.83203125" style="18"/>
    <col min="6404" max="6404" width="10" style="18" customWidth="1"/>
    <col min="6405" max="6405" width="12.5" style="18" bestFit="1" customWidth="1"/>
    <col min="6406" max="6406" width="11" style="18" customWidth="1"/>
    <col min="6407" max="6407" width="13.5" style="18" bestFit="1" customWidth="1"/>
    <col min="6408" max="6659" width="8.83203125" style="18"/>
    <col min="6660" max="6660" width="10" style="18" customWidth="1"/>
    <col min="6661" max="6661" width="12.5" style="18" bestFit="1" customWidth="1"/>
    <col min="6662" max="6662" width="11" style="18" customWidth="1"/>
    <col min="6663" max="6663" width="13.5" style="18" bestFit="1" customWidth="1"/>
    <col min="6664" max="6915" width="8.83203125" style="18"/>
    <col min="6916" max="6916" width="10" style="18" customWidth="1"/>
    <col min="6917" max="6917" width="12.5" style="18" bestFit="1" customWidth="1"/>
    <col min="6918" max="6918" width="11" style="18" customWidth="1"/>
    <col min="6919" max="6919" width="13.5" style="18" bestFit="1" customWidth="1"/>
    <col min="6920" max="7171" width="8.83203125" style="18"/>
    <col min="7172" max="7172" width="10" style="18" customWidth="1"/>
    <col min="7173" max="7173" width="12.5" style="18" bestFit="1" customWidth="1"/>
    <col min="7174" max="7174" width="11" style="18" customWidth="1"/>
    <col min="7175" max="7175" width="13.5" style="18" bestFit="1" customWidth="1"/>
    <col min="7176" max="7427" width="8.83203125" style="18"/>
    <col min="7428" max="7428" width="10" style="18" customWidth="1"/>
    <col min="7429" max="7429" width="12.5" style="18" bestFit="1" customWidth="1"/>
    <col min="7430" max="7430" width="11" style="18" customWidth="1"/>
    <col min="7431" max="7431" width="13.5" style="18" bestFit="1" customWidth="1"/>
    <col min="7432" max="7683" width="8.83203125" style="18"/>
    <col min="7684" max="7684" width="10" style="18" customWidth="1"/>
    <col min="7685" max="7685" width="12.5" style="18" bestFit="1" customWidth="1"/>
    <col min="7686" max="7686" width="11" style="18" customWidth="1"/>
    <col min="7687" max="7687" width="13.5" style="18" bestFit="1" customWidth="1"/>
    <col min="7688" max="7939" width="8.83203125" style="18"/>
    <col min="7940" max="7940" width="10" style="18" customWidth="1"/>
    <col min="7941" max="7941" width="12.5" style="18" bestFit="1" customWidth="1"/>
    <col min="7942" max="7942" width="11" style="18" customWidth="1"/>
    <col min="7943" max="7943" width="13.5" style="18" bestFit="1" customWidth="1"/>
    <col min="7944" max="8195" width="8.83203125" style="18"/>
    <col min="8196" max="8196" width="10" style="18" customWidth="1"/>
    <col min="8197" max="8197" width="12.5" style="18" bestFit="1" customWidth="1"/>
    <col min="8198" max="8198" width="11" style="18" customWidth="1"/>
    <col min="8199" max="8199" width="13.5" style="18" bestFit="1" customWidth="1"/>
    <col min="8200" max="8451" width="8.83203125" style="18"/>
    <col min="8452" max="8452" width="10" style="18" customWidth="1"/>
    <col min="8453" max="8453" width="12.5" style="18" bestFit="1" customWidth="1"/>
    <col min="8454" max="8454" width="11" style="18" customWidth="1"/>
    <col min="8455" max="8455" width="13.5" style="18" bestFit="1" customWidth="1"/>
    <col min="8456" max="8707" width="8.83203125" style="18"/>
    <col min="8708" max="8708" width="10" style="18" customWidth="1"/>
    <col min="8709" max="8709" width="12.5" style="18" bestFit="1" customWidth="1"/>
    <col min="8710" max="8710" width="11" style="18" customWidth="1"/>
    <col min="8711" max="8711" width="13.5" style="18" bestFit="1" customWidth="1"/>
    <col min="8712" max="8963" width="8.83203125" style="18"/>
    <col min="8964" max="8964" width="10" style="18" customWidth="1"/>
    <col min="8965" max="8965" width="12.5" style="18" bestFit="1" customWidth="1"/>
    <col min="8966" max="8966" width="11" style="18" customWidth="1"/>
    <col min="8967" max="8967" width="13.5" style="18" bestFit="1" customWidth="1"/>
    <col min="8968" max="9219" width="8.83203125" style="18"/>
    <col min="9220" max="9220" width="10" style="18" customWidth="1"/>
    <col min="9221" max="9221" width="12.5" style="18" bestFit="1" customWidth="1"/>
    <col min="9222" max="9222" width="11" style="18" customWidth="1"/>
    <col min="9223" max="9223" width="13.5" style="18" bestFit="1" customWidth="1"/>
    <col min="9224" max="9475" width="8.83203125" style="18"/>
    <col min="9476" max="9476" width="10" style="18" customWidth="1"/>
    <col min="9477" max="9477" width="12.5" style="18" bestFit="1" customWidth="1"/>
    <col min="9478" max="9478" width="11" style="18" customWidth="1"/>
    <col min="9479" max="9479" width="13.5" style="18" bestFit="1" customWidth="1"/>
    <col min="9480" max="9731" width="8.83203125" style="18"/>
    <col min="9732" max="9732" width="10" style="18" customWidth="1"/>
    <col min="9733" max="9733" width="12.5" style="18" bestFit="1" customWidth="1"/>
    <col min="9734" max="9734" width="11" style="18" customWidth="1"/>
    <col min="9735" max="9735" width="13.5" style="18" bestFit="1" customWidth="1"/>
    <col min="9736" max="9987" width="8.83203125" style="18"/>
    <col min="9988" max="9988" width="10" style="18" customWidth="1"/>
    <col min="9989" max="9989" width="12.5" style="18" bestFit="1" customWidth="1"/>
    <col min="9990" max="9990" width="11" style="18" customWidth="1"/>
    <col min="9991" max="9991" width="13.5" style="18" bestFit="1" customWidth="1"/>
    <col min="9992" max="10243" width="8.83203125" style="18"/>
    <col min="10244" max="10244" width="10" style="18" customWidth="1"/>
    <col min="10245" max="10245" width="12.5" style="18" bestFit="1" customWidth="1"/>
    <col min="10246" max="10246" width="11" style="18" customWidth="1"/>
    <col min="10247" max="10247" width="13.5" style="18" bestFit="1" customWidth="1"/>
    <col min="10248" max="10499" width="8.83203125" style="18"/>
    <col min="10500" max="10500" width="10" style="18" customWidth="1"/>
    <col min="10501" max="10501" width="12.5" style="18" bestFit="1" customWidth="1"/>
    <col min="10502" max="10502" width="11" style="18" customWidth="1"/>
    <col min="10503" max="10503" width="13.5" style="18" bestFit="1" customWidth="1"/>
    <col min="10504" max="10755" width="8.83203125" style="18"/>
    <col min="10756" max="10756" width="10" style="18" customWidth="1"/>
    <col min="10757" max="10757" width="12.5" style="18" bestFit="1" customWidth="1"/>
    <col min="10758" max="10758" width="11" style="18" customWidth="1"/>
    <col min="10759" max="10759" width="13.5" style="18" bestFit="1" customWidth="1"/>
    <col min="10760" max="11011" width="8.83203125" style="18"/>
    <col min="11012" max="11012" width="10" style="18" customWidth="1"/>
    <col min="11013" max="11013" width="12.5" style="18" bestFit="1" customWidth="1"/>
    <col min="11014" max="11014" width="11" style="18" customWidth="1"/>
    <col min="11015" max="11015" width="13.5" style="18" bestFit="1" customWidth="1"/>
    <col min="11016" max="11267" width="8.83203125" style="18"/>
    <col min="11268" max="11268" width="10" style="18" customWidth="1"/>
    <col min="11269" max="11269" width="12.5" style="18" bestFit="1" customWidth="1"/>
    <col min="11270" max="11270" width="11" style="18" customWidth="1"/>
    <col min="11271" max="11271" width="13.5" style="18" bestFit="1" customWidth="1"/>
    <col min="11272" max="11523" width="8.83203125" style="18"/>
    <col min="11524" max="11524" width="10" style="18" customWidth="1"/>
    <col min="11525" max="11525" width="12.5" style="18" bestFit="1" customWidth="1"/>
    <col min="11526" max="11526" width="11" style="18" customWidth="1"/>
    <col min="11527" max="11527" width="13.5" style="18" bestFit="1" customWidth="1"/>
    <col min="11528" max="11779" width="8.83203125" style="18"/>
    <col min="11780" max="11780" width="10" style="18" customWidth="1"/>
    <col min="11781" max="11781" width="12.5" style="18" bestFit="1" customWidth="1"/>
    <col min="11782" max="11782" width="11" style="18" customWidth="1"/>
    <col min="11783" max="11783" width="13.5" style="18" bestFit="1" customWidth="1"/>
    <col min="11784" max="12035" width="8.83203125" style="18"/>
    <col min="12036" max="12036" width="10" style="18" customWidth="1"/>
    <col min="12037" max="12037" width="12.5" style="18" bestFit="1" customWidth="1"/>
    <col min="12038" max="12038" width="11" style="18" customWidth="1"/>
    <col min="12039" max="12039" width="13.5" style="18" bestFit="1" customWidth="1"/>
    <col min="12040" max="12291" width="8.83203125" style="18"/>
    <col min="12292" max="12292" width="10" style="18" customWidth="1"/>
    <col min="12293" max="12293" width="12.5" style="18" bestFit="1" customWidth="1"/>
    <col min="12294" max="12294" width="11" style="18" customWidth="1"/>
    <col min="12295" max="12295" width="13.5" style="18" bestFit="1" customWidth="1"/>
    <col min="12296" max="12547" width="8.83203125" style="18"/>
    <col min="12548" max="12548" width="10" style="18" customWidth="1"/>
    <col min="12549" max="12549" width="12.5" style="18" bestFit="1" customWidth="1"/>
    <col min="12550" max="12550" width="11" style="18" customWidth="1"/>
    <col min="12551" max="12551" width="13.5" style="18" bestFit="1" customWidth="1"/>
    <col min="12552" max="12803" width="8.83203125" style="18"/>
    <col min="12804" max="12804" width="10" style="18" customWidth="1"/>
    <col min="12805" max="12805" width="12.5" style="18" bestFit="1" customWidth="1"/>
    <col min="12806" max="12806" width="11" style="18" customWidth="1"/>
    <col min="12807" max="12807" width="13.5" style="18" bestFit="1" customWidth="1"/>
    <col min="12808" max="13059" width="8.83203125" style="18"/>
    <col min="13060" max="13060" width="10" style="18" customWidth="1"/>
    <col min="13061" max="13061" width="12.5" style="18" bestFit="1" customWidth="1"/>
    <col min="13062" max="13062" width="11" style="18" customWidth="1"/>
    <col min="13063" max="13063" width="13.5" style="18" bestFit="1" customWidth="1"/>
    <col min="13064" max="13315" width="8.83203125" style="18"/>
    <col min="13316" max="13316" width="10" style="18" customWidth="1"/>
    <col min="13317" max="13317" width="12.5" style="18" bestFit="1" customWidth="1"/>
    <col min="13318" max="13318" width="11" style="18" customWidth="1"/>
    <col min="13319" max="13319" width="13.5" style="18" bestFit="1" customWidth="1"/>
    <col min="13320" max="13571" width="8.83203125" style="18"/>
    <col min="13572" max="13572" width="10" style="18" customWidth="1"/>
    <col min="13573" max="13573" width="12.5" style="18" bestFit="1" customWidth="1"/>
    <col min="13574" max="13574" width="11" style="18" customWidth="1"/>
    <col min="13575" max="13575" width="13.5" style="18" bestFit="1" customWidth="1"/>
    <col min="13576" max="13827" width="8.83203125" style="18"/>
    <col min="13828" max="13828" width="10" style="18" customWidth="1"/>
    <col min="13829" max="13829" width="12.5" style="18" bestFit="1" customWidth="1"/>
    <col min="13830" max="13830" width="11" style="18" customWidth="1"/>
    <col min="13831" max="13831" width="13.5" style="18" bestFit="1" customWidth="1"/>
    <col min="13832" max="14083" width="8.83203125" style="18"/>
    <col min="14084" max="14084" width="10" style="18" customWidth="1"/>
    <col min="14085" max="14085" width="12.5" style="18" bestFit="1" customWidth="1"/>
    <col min="14086" max="14086" width="11" style="18" customWidth="1"/>
    <col min="14087" max="14087" width="13.5" style="18" bestFit="1" customWidth="1"/>
    <col min="14088" max="14339" width="8.83203125" style="18"/>
    <col min="14340" max="14340" width="10" style="18" customWidth="1"/>
    <col min="14341" max="14341" width="12.5" style="18" bestFit="1" customWidth="1"/>
    <col min="14342" max="14342" width="11" style="18" customWidth="1"/>
    <col min="14343" max="14343" width="13.5" style="18" bestFit="1" customWidth="1"/>
    <col min="14344" max="14595" width="8.83203125" style="18"/>
    <col min="14596" max="14596" width="10" style="18" customWidth="1"/>
    <col min="14597" max="14597" width="12.5" style="18" bestFit="1" customWidth="1"/>
    <col min="14598" max="14598" width="11" style="18" customWidth="1"/>
    <col min="14599" max="14599" width="13.5" style="18" bestFit="1" customWidth="1"/>
    <col min="14600" max="14851" width="8.83203125" style="18"/>
    <col min="14852" max="14852" width="10" style="18" customWidth="1"/>
    <col min="14853" max="14853" width="12.5" style="18" bestFit="1" customWidth="1"/>
    <col min="14854" max="14854" width="11" style="18" customWidth="1"/>
    <col min="14855" max="14855" width="13.5" style="18" bestFit="1" customWidth="1"/>
    <col min="14856" max="15107" width="8.83203125" style="18"/>
    <col min="15108" max="15108" width="10" style="18" customWidth="1"/>
    <col min="15109" max="15109" width="12.5" style="18" bestFit="1" customWidth="1"/>
    <col min="15110" max="15110" width="11" style="18" customWidth="1"/>
    <col min="15111" max="15111" width="13.5" style="18" bestFit="1" customWidth="1"/>
    <col min="15112" max="15363" width="8.83203125" style="18"/>
    <col min="15364" max="15364" width="10" style="18" customWidth="1"/>
    <col min="15365" max="15365" width="12.5" style="18" bestFit="1" customWidth="1"/>
    <col min="15366" max="15366" width="11" style="18" customWidth="1"/>
    <col min="15367" max="15367" width="13.5" style="18" bestFit="1" customWidth="1"/>
    <col min="15368" max="15619" width="8.83203125" style="18"/>
    <col min="15620" max="15620" width="10" style="18" customWidth="1"/>
    <col min="15621" max="15621" width="12.5" style="18" bestFit="1" customWidth="1"/>
    <col min="15622" max="15622" width="11" style="18" customWidth="1"/>
    <col min="15623" max="15623" width="13.5" style="18" bestFit="1" customWidth="1"/>
    <col min="15624" max="15875" width="8.83203125" style="18"/>
    <col min="15876" max="15876" width="10" style="18" customWidth="1"/>
    <col min="15877" max="15877" width="12.5" style="18" bestFit="1" customWidth="1"/>
    <col min="15878" max="15878" width="11" style="18" customWidth="1"/>
    <col min="15879" max="15879" width="13.5" style="18" bestFit="1" customWidth="1"/>
    <col min="15880" max="16131" width="8.83203125" style="18"/>
    <col min="16132" max="16132" width="10" style="18" customWidth="1"/>
    <col min="16133" max="16133" width="12.5" style="18" bestFit="1" customWidth="1"/>
    <col min="16134" max="16134" width="11" style="18" customWidth="1"/>
    <col min="16135" max="16135" width="13.5" style="18" bestFit="1" customWidth="1"/>
    <col min="16136" max="16384" width="8.83203125" style="18"/>
  </cols>
  <sheetData>
    <row r="1" spans="2:9" ht="85.5" customHeight="1">
      <c r="B1" s="58" t="str">
        <f>'1. Cow-Calf_InputForm'!F3-1&amp;"-BORN REPLACEMENT HEIFER - COST OF PRODUCTION"</f>
        <v>-1-BORN REPLACEMENT HEIFER - COST OF PRODUCTION</v>
      </c>
    </row>
    <row r="2" spans="2:9" ht="9" customHeight="1">
      <c r="B2" s="17"/>
    </row>
    <row r="3" spans="2:9" ht="13.5" customHeight="1">
      <c r="B3" s="17" t="s">
        <v>70</v>
      </c>
      <c r="F3" s="20">
        <f>'2a. Replacement_InputForm'!$D$13</f>
        <v>0</v>
      </c>
    </row>
    <row r="4" spans="2:9" ht="13.5" customHeight="1">
      <c r="B4" s="17" t="s">
        <v>122</v>
      </c>
      <c r="F4" s="20">
        <f>'2a. Replacement_InputForm'!$F$13</f>
        <v>0</v>
      </c>
    </row>
    <row r="5" spans="2:9" ht="13.5" customHeight="1">
      <c r="B5" s="17" t="s">
        <v>71</v>
      </c>
      <c r="F5" s="20">
        <f>'2a. Replacement_InputForm'!H13</f>
        <v>0</v>
      </c>
    </row>
    <row r="6" spans="2:9" ht="13.5" customHeight="1">
      <c r="B6" s="17" t="s">
        <v>440</v>
      </c>
      <c r="F6" s="20">
        <f>'2a. Replacement_InputForm'!N13</f>
        <v>0</v>
      </c>
    </row>
    <row r="7" spans="2:9" ht="13.5" customHeight="1">
      <c r="B7" s="17" t="s">
        <v>441</v>
      </c>
      <c r="F7" s="20">
        <f>'2a. Replacement_InputForm'!L13</f>
        <v>0</v>
      </c>
    </row>
    <row r="8" spans="2:9" ht="13.5" customHeight="1">
      <c r="B8" s="17" t="s">
        <v>442</v>
      </c>
      <c r="F8" s="20">
        <f>'2a. Replacement_InputForm'!J13</f>
        <v>0</v>
      </c>
    </row>
    <row r="9" spans="2:9" ht="13.5" customHeight="1">
      <c r="B9" s="17"/>
      <c r="F9" s="20"/>
    </row>
    <row r="10" spans="2:9" ht="13.5" customHeight="1">
      <c r="B10" s="17" t="s">
        <v>153</v>
      </c>
      <c r="C10" s="22"/>
      <c r="D10" s="22"/>
      <c r="G10" s="22" t="s">
        <v>11</v>
      </c>
      <c r="H10" s="22" t="s">
        <v>72</v>
      </c>
      <c r="I10" s="22"/>
    </row>
    <row r="11" spans="2:9" ht="13.5" customHeight="1">
      <c r="B11" s="18" t="s">
        <v>234</v>
      </c>
      <c r="C11" s="22"/>
      <c r="D11" s="22"/>
      <c r="G11" s="25">
        <f>'2a. Replacement_InputForm'!H32+'2a. Replacement_InputForm'!H34</f>
        <v>0</v>
      </c>
      <c r="H11" s="22"/>
      <c r="I11" s="22"/>
    </row>
    <row r="12" spans="2:9" ht="13.5" customHeight="1">
      <c r="B12" s="18" t="s">
        <v>217</v>
      </c>
      <c r="C12" s="22"/>
      <c r="D12" s="22"/>
      <c r="G12" s="25">
        <f>'2a. Replacement_InputForm'!N13*'2a. Replacement_InputForm'!N15</f>
        <v>0</v>
      </c>
      <c r="H12" s="22"/>
      <c r="I12" s="22"/>
    </row>
    <row r="13" spans="2:9" ht="13.5" customHeight="1">
      <c r="B13" s="17" t="s">
        <v>224</v>
      </c>
      <c r="C13" s="22"/>
      <c r="D13" s="22"/>
      <c r="E13" s="17"/>
      <c r="F13" s="22" t="s">
        <v>34</v>
      </c>
      <c r="G13" s="28">
        <f>SUM(G11:G12)</f>
        <v>0</v>
      </c>
      <c r="H13" s="29" t="e">
        <f>G13/F3</f>
        <v>#DIV/0!</v>
      </c>
      <c r="I13" s="29"/>
    </row>
    <row r="14" spans="2:9" ht="13.5" customHeight="1">
      <c r="C14" s="24"/>
      <c r="D14" s="24"/>
      <c r="F14" s="22"/>
      <c r="G14" s="25"/>
      <c r="H14" s="24"/>
      <c r="I14" s="24"/>
    </row>
    <row r="15" spans="2:9" ht="13.5" customHeight="1">
      <c r="B15" s="17" t="s">
        <v>33</v>
      </c>
      <c r="C15" s="17"/>
      <c r="F15" s="22"/>
      <c r="G15" s="28" t="s">
        <v>11</v>
      </c>
      <c r="H15" s="22" t="s">
        <v>72</v>
      </c>
      <c r="I15" s="22"/>
    </row>
    <row r="16" spans="2:9" ht="13.5" customHeight="1">
      <c r="B16" s="18" t="s">
        <v>225</v>
      </c>
      <c r="C16" s="17"/>
      <c r="F16" s="22"/>
      <c r="G16" s="25">
        <f>'2a. Replacement_InputForm'!D13*'2a. Replacement_InputForm'!D15</f>
        <v>0</v>
      </c>
      <c r="H16" s="26" t="e">
        <f t="shared" ref="H16:H23" si="0">G16/$F$3</f>
        <v>#DIV/0!</v>
      </c>
      <c r="I16" s="26"/>
    </row>
    <row r="17" spans="2:9" ht="13.5" customHeight="1">
      <c r="B17" s="18" t="s">
        <v>123</v>
      </c>
      <c r="C17" s="17"/>
      <c r="F17" s="22"/>
      <c r="G17" s="25">
        <f>'2a. Replacement_InputForm'!F28</f>
        <v>0</v>
      </c>
      <c r="H17" s="26" t="e">
        <f t="shared" si="0"/>
        <v>#DIV/0!</v>
      </c>
      <c r="I17" s="26"/>
    </row>
    <row r="18" spans="2:9" ht="13.5" customHeight="1">
      <c r="B18" s="18" t="s">
        <v>119</v>
      </c>
      <c r="F18" s="22"/>
      <c r="G18" s="25">
        <f>'2a. Replacement_InputForm'!F44+'2a. Replacement_InputForm'!F45+'2a. Replacement_InputForm'!F46+'2a. Replacement_InputForm'!F47+'2a. Replacement_InputForm'!F48+'2a. Replacement_InputForm'!P44+'2a. Replacement_InputForm'!P45+'2a. Replacement_InputForm'!P46+'2a. Replacement_InputForm'!P47+'2a. Replacement_InputForm'!P48</f>
        <v>0</v>
      </c>
      <c r="H18" s="26" t="e">
        <f t="shared" si="0"/>
        <v>#DIV/0!</v>
      </c>
      <c r="I18" s="26"/>
    </row>
    <row r="19" spans="2:9" ht="13.5" customHeight="1">
      <c r="B19" s="18" t="s">
        <v>143</v>
      </c>
      <c r="F19" s="22"/>
      <c r="G19" s="25">
        <f>SUM('2a. Replacement_InputForm'!H56:H60)+SUM('2a. Replacement_InputForm'!T56:T60)</f>
        <v>0</v>
      </c>
      <c r="H19" s="26" t="e">
        <f t="shared" si="0"/>
        <v>#DIV/0!</v>
      </c>
      <c r="I19" s="26"/>
    </row>
    <row r="20" spans="2:9" ht="13.5" customHeight="1">
      <c r="B20" s="18" t="s">
        <v>118</v>
      </c>
      <c r="F20" s="22"/>
      <c r="G20" s="25" t="e">
        <f>'10. Expenses'!F13</f>
        <v>#DIV/0!</v>
      </c>
      <c r="H20" s="26" t="e">
        <f t="shared" si="0"/>
        <v>#DIV/0!</v>
      </c>
      <c r="I20" s="26"/>
    </row>
    <row r="21" spans="2:9" ht="13.5" customHeight="1">
      <c r="B21" s="18" t="s">
        <v>31</v>
      </c>
      <c r="F21" s="22"/>
      <c r="G21" s="25" t="e">
        <f>'10. Expenses'!F21</f>
        <v>#DIV/0!</v>
      </c>
      <c r="H21" s="26" t="e">
        <f t="shared" si="0"/>
        <v>#DIV/0!</v>
      </c>
      <c r="I21" s="26"/>
    </row>
    <row r="22" spans="2:9" ht="13.5" customHeight="1">
      <c r="B22" s="18" t="s">
        <v>200</v>
      </c>
      <c r="F22" s="22"/>
      <c r="G22" s="25">
        <f>'10. Expenses'!F29</f>
        <v>0</v>
      </c>
      <c r="H22" s="26" t="e">
        <f t="shared" si="0"/>
        <v>#DIV/0!</v>
      </c>
      <c r="I22" s="26"/>
    </row>
    <row r="23" spans="2:9" ht="13.5" customHeight="1">
      <c r="B23" s="17" t="s">
        <v>29</v>
      </c>
      <c r="F23" s="22" t="s">
        <v>28</v>
      </c>
      <c r="G23" s="28" t="e">
        <f>SUM(G16:G21)</f>
        <v>#DIV/0!</v>
      </c>
      <c r="H23" s="29" t="e">
        <f t="shared" si="0"/>
        <v>#DIV/0!</v>
      </c>
      <c r="I23" s="29"/>
    </row>
    <row r="24" spans="2:9" ht="13.5" customHeight="1">
      <c r="B24" s="17"/>
      <c r="F24" s="22"/>
      <c r="G24" s="25"/>
      <c r="H24" s="31"/>
      <c r="I24" s="31"/>
    </row>
    <row r="25" spans="2:9" ht="13.5" customHeight="1">
      <c r="B25" s="17" t="s">
        <v>27</v>
      </c>
      <c r="F25" s="22"/>
      <c r="G25" s="28" t="s">
        <v>11</v>
      </c>
      <c r="H25" s="22" t="s">
        <v>72</v>
      </c>
      <c r="I25" s="22"/>
    </row>
    <row r="26" spans="2:9" ht="13.5" customHeight="1">
      <c r="B26" s="18" t="s">
        <v>145</v>
      </c>
      <c r="F26" s="22"/>
      <c r="G26" s="25">
        <f>'10. Expenses'!F42</f>
        <v>0</v>
      </c>
      <c r="H26" s="26" t="e">
        <f>G26/F3</f>
        <v>#DIV/0!</v>
      </c>
      <c r="I26" s="32"/>
    </row>
    <row r="27" spans="2:9" ht="13.5" customHeight="1">
      <c r="B27" s="18" t="s">
        <v>26</v>
      </c>
      <c r="F27" s="22"/>
      <c r="G27" s="25">
        <f>'10. Expenses'!F55</f>
        <v>0</v>
      </c>
      <c r="H27" s="26" t="e">
        <f>G27/$F$3</f>
        <v>#DIV/0!</v>
      </c>
      <c r="I27" s="32"/>
    </row>
    <row r="28" spans="2:9" ht="13.5" customHeight="1">
      <c r="B28" s="18" t="s">
        <v>25</v>
      </c>
      <c r="F28" s="22"/>
      <c r="G28" s="25">
        <f>'10. Expenses'!F62</f>
        <v>0</v>
      </c>
      <c r="H28" s="26" t="e">
        <f t="shared" ref="H28:H35" si="1">G28/$F$3</f>
        <v>#DIV/0!</v>
      </c>
      <c r="I28" s="32"/>
    </row>
    <row r="29" spans="2:9" ht="13.5" customHeight="1">
      <c r="B29" s="18" t="s">
        <v>226</v>
      </c>
      <c r="F29" s="22"/>
      <c r="G29" s="25" t="e">
        <f>'10. Expenses'!F75</f>
        <v>#DIV/0!</v>
      </c>
      <c r="H29" s="26" t="e">
        <f t="shared" si="1"/>
        <v>#DIV/0!</v>
      </c>
      <c r="I29" s="32"/>
    </row>
    <row r="30" spans="2:9" ht="13.5" customHeight="1">
      <c r="B30" s="18" t="s">
        <v>23</v>
      </c>
      <c r="F30" s="22"/>
      <c r="G30" s="25" t="e">
        <f>'10. Expenses'!F82</f>
        <v>#DIV/0!</v>
      </c>
      <c r="H30" s="26" t="e">
        <f t="shared" si="1"/>
        <v>#DIV/0!</v>
      </c>
      <c r="I30" s="32"/>
    </row>
    <row r="31" spans="2:9" ht="13.5" customHeight="1">
      <c r="B31" s="18" t="s">
        <v>22</v>
      </c>
      <c r="F31" s="22"/>
      <c r="G31" s="25">
        <f>'10. Expenses'!F87</f>
        <v>0</v>
      </c>
      <c r="H31" s="26" t="e">
        <f t="shared" si="1"/>
        <v>#DIV/0!</v>
      </c>
      <c r="I31" s="32"/>
    </row>
    <row r="32" spans="2:9" ht="13.5" customHeight="1">
      <c r="B32" s="18" t="s">
        <v>150</v>
      </c>
      <c r="F32" s="22"/>
      <c r="G32" s="25">
        <f>'11. Unpaid Labour'!H8</f>
        <v>0</v>
      </c>
      <c r="H32" s="26" t="e">
        <f t="shared" si="1"/>
        <v>#DIV/0!</v>
      </c>
      <c r="I32" s="32"/>
    </row>
    <row r="33" spans="2:9" ht="13.5" customHeight="1">
      <c r="B33" s="18" t="s">
        <v>120</v>
      </c>
      <c r="F33" s="22"/>
      <c r="G33" s="25" t="e">
        <f>'10. Expenses'!F97</f>
        <v>#DIV/0!</v>
      </c>
      <c r="H33" s="26" t="e">
        <f t="shared" si="1"/>
        <v>#DIV/0!</v>
      </c>
      <c r="I33" s="32"/>
    </row>
    <row r="34" spans="2:9" ht="13.5" customHeight="1">
      <c r="B34" s="18" t="s">
        <v>20</v>
      </c>
      <c r="F34" s="22"/>
      <c r="G34" s="25" t="e">
        <f>'12. Assets_for Depreciation'!H26+'12. Assets_for Depreciation'!H51+'12. Assets_for Depreciation'!H86</f>
        <v>#DIV/0!</v>
      </c>
      <c r="H34" s="26" t="e">
        <f t="shared" si="1"/>
        <v>#DIV/0!</v>
      </c>
      <c r="I34" s="32"/>
    </row>
    <row r="35" spans="2:9" ht="13.5" customHeight="1">
      <c r="B35" s="18" t="s">
        <v>19</v>
      </c>
      <c r="F35" s="22"/>
      <c r="G35" s="25">
        <f>'10. Expenses'!F102</f>
        <v>0</v>
      </c>
      <c r="H35" s="26" t="e">
        <f t="shared" si="1"/>
        <v>#DIV/0!</v>
      </c>
      <c r="I35" s="32"/>
    </row>
    <row r="36" spans="2:9" ht="13.5" customHeight="1">
      <c r="B36" s="17" t="s">
        <v>18</v>
      </c>
      <c r="F36" s="22" t="s">
        <v>17</v>
      </c>
      <c r="G36" s="28" t="e">
        <f>SUM(G26:G35)</f>
        <v>#DIV/0!</v>
      </c>
      <c r="H36" s="29" t="e">
        <f>G36/$F$3</f>
        <v>#DIV/0!</v>
      </c>
      <c r="I36" s="33"/>
    </row>
    <row r="37" spans="2:9" ht="13.5" customHeight="1">
      <c r="F37" s="22"/>
      <c r="G37" s="25"/>
      <c r="H37" s="31"/>
      <c r="I37" s="31"/>
    </row>
    <row r="38" spans="2:9" ht="13.5" customHeight="1">
      <c r="B38" s="17" t="s">
        <v>16</v>
      </c>
      <c r="F38" s="22"/>
      <c r="G38" s="28" t="s">
        <v>11</v>
      </c>
      <c r="H38" s="22" t="s">
        <v>72</v>
      </c>
      <c r="I38" s="22"/>
    </row>
    <row r="39" spans="2:9" ht="13.5" customHeight="1">
      <c r="B39" s="18" t="s">
        <v>15</v>
      </c>
      <c r="F39" s="22"/>
      <c r="G39" s="25" t="e">
        <f>'10. Expenses'!AJ105</f>
        <v>#DIV/0!</v>
      </c>
      <c r="H39" s="26" t="e">
        <f>G39/$F$3</f>
        <v>#DIV/0!</v>
      </c>
      <c r="I39" s="32"/>
    </row>
    <row r="40" spans="2:9" ht="13.5" customHeight="1">
      <c r="B40" s="18" t="s">
        <v>189</v>
      </c>
      <c r="F40" s="22"/>
      <c r="G40" s="25" t="e">
        <f>'10. Expenses'!AJ106+'10. Expenses'!AJ107</f>
        <v>#DIV/0!</v>
      </c>
      <c r="H40" s="26" t="e">
        <f>G40/$F$3</f>
        <v>#DIV/0!</v>
      </c>
      <c r="I40" s="32"/>
    </row>
    <row r="41" spans="2:9" ht="13.5" customHeight="1">
      <c r="B41" s="18" t="s">
        <v>468</v>
      </c>
      <c r="F41" s="22"/>
      <c r="G41" s="25" t="e">
        <f>'10. Expenses'!F114</f>
        <v>#DIV/0!</v>
      </c>
      <c r="H41" s="26" t="e">
        <f>G41/$F$3</f>
        <v>#DIV/0!</v>
      </c>
      <c r="I41" s="32"/>
    </row>
    <row r="42" spans="2:9" ht="13.5" customHeight="1">
      <c r="B42" s="17" t="s">
        <v>13</v>
      </c>
      <c r="F42" s="22" t="s">
        <v>12</v>
      </c>
      <c r="G42" s="28" t="e">
        <f>SUM(G39:G41)</f>
        <v>#DIV/0!</v>
      </c>
      <c r="H42" s="29" t="e">
        <f>G42/$F$3</f>
        <v>#DIV/0!</v>
      </c>
      <c r="I42" s="33"/>
    </row>
    <row r="43" spans="2:9" ht="13.5" customHeight="1">
      <c r="B43" s="17"/>
      <c r="F43" s="22"/>
      <c r="G43" s="28"/>
      <c r="H43" s="29"/>
      <c r="I43" s="33"/>
    </row>
    <row r="44" spans="2:9" ht="13.5" customHeight="1">
      <c r="F44" s="22"/>
      <c r="G44" s="28" t="s">
        <v>11</v>
      </c>
      <c r="H44" s="22" t="s">
        <v>72</v>
      </c>
      <c r="I44" s="22"/>
    </row>
    <row r="45" spans="2:9" ht="13.5" customHeight="1">
      <c r="B45" s="17" t="s">
        <v>8</v>
      </c>
      <c r="C45" s="17"/>
      <c r="F45" s="22" t="s">
        <v>7</v>
      </c>
      <c r="G45" s="25" t="e">
        <f>G42+G36+G23</f>
        <v>#DIV/0!</v>
      </c>
      <c r="H45" s="25" t="e">
        <f>G45/F3</f>
        <v>#DIV/0!</v>
      </c>
      <c r="I45" s="32"/>
    </row>
    <row r="46" spans="2:9" ht="13.5" customHeight="1">
      <c r="B46" s="17" t="s">
        <v>6</v>
      </c>
      <c r="C46" s="17"/>
      <c r="F46" s="22" t="s">
        <v>5</v>
      </c>
      <c r="G46" s="20" t="e">
        <f>G45-G32</f>
        <v>#DIV/0!</v>
      </c>
      <c r="H46" s="25" t="e">
        <f>H45-H32</f>
        <v>#DIV/0!</v>
      </c>
      <c r="I46" s="26"/>
    </row>
    <row r="47" spans="2:9" ht="13.5" customHeight="1">
      <c r="B47" s="17" t="s">
        <v>227</v>
      </c>
      <c r="C47" s="17"/>
      <c r="D47" s="31"/>
      <c r="E47" s="31"/>
      <c r="F47" s="27" t="s">
        <v>3</v>
      </c>
      <c r="G47" s="25" t="e">
        <f>G13-G45</f>
        <v>#DIV/0!</v>
      </c>
      <c r="H47" s="26" t="e">
        <f>G47/F3</f>
        <v>#DIV/0!</v>
      </c>
      <c r="I47" s="32"/>
    </row>
    <row r="48" spans="2:9" ht="13.5" customHeight="1">
      <c r="B48" s="17" t="s">
        <v>2</v>
      </c>
      <c r="C48" s="17"/>
      <c r="D48" s="27"/>
      <c r="E48" s="27"/>
      <c r="F48" s="27" t="s">
        <v>1</v>
      </c>
      <c r="G48" s="25" t="e">
        <f>G47+G32</f>
        <v>#DIV/0!</v>
      </c>
      <c r="H48" s="26" t="e">
        <f>H47+H32</f>
        <v>#DIV/0!</v>
      </c>
      <c r="I48" s="26"/>
    </row>
    <row r="50" spans="2:8">
      <c r="B50" s="553" t="s">
        <v>616</v>
      </c>
      <c r="C50" s="553"/>
      <c r="D50" s="553"/>
      <c r="E50" s="553"/>
      <c r="F50" s="553"/>
      <c r="G50" s="824" t="e">
        <f>H45</f>
        <v>#DIV/0!</v>
      </c>
      <c r="H50" s="553" t="s">
        <v>617</v>
      </c>
    </row>
    <row r="51" spans="2:8">
      <c r="B51" s="569" t="s">
        <v>523</v>
      </c>
    </row>
  </sheetData>
  <sheetCalcPr fullCalcOnLoad="1"/>
  <pageMargins left="0.75" right="0.75" top="1" bottom="1" header="0.5" footer="0.5"/>
  <headerFooter alignWithMargins="0">
    <oddFooter>&amp;L&amp;A&amp;R&amp;D</oddFooter>
  </headerFooter>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B1:H28"/>
  <sheetViews>
    <sheetView showGridLines="0" showRowColHeaders="0" workbookViewId="0">
      <selection activeCell="D6" sqref="D6"/>
    </sheetView>
  </sheetViews>
  <sheetFormatPr baseColWidth="10" defaultColWidth="8.83203125" defaultRowHeight="14"/>
  <cols>
    <col min="1" max="1" width="3.5" customWidth="1"/>
    <col min="2" max="2" width="20.1640625" customWidth="1"/>
    <col min="3" max="3" width="2.33203125" customWidth="1"/>
    <col min="4" max="4" width="3.5" customWidth="1"/>
    <col min="5" max="5" width="11.1640625" customWidth="1"/>
    <col min="6" max="6" width="17" customWidth="1"/>
    <col min="7" max="7" width="8.1640625" customWidth="1"/>
    <col min="8" max="8" width="15.5" customWidth="1"/>
  </cols>
  <sheetData>
    <row r="1" spans="2:6" ht="51.75" customHeight="1">
      <c r="B1" s="199" t="s">
        <v>395</v>
      </c>
    </row>
    <row r="2" spans="2:6" ht="18">
      <c r="B2" s="198" t="s">
        <v>394</v>
      </c>
    </row>
    <row r="4" spans="2:6">
      <c r="B4" s="200" t="s">
        <v>401</v>
      </c>
    </row>
    <row r="6" spans="2:6" ht="15">
      <c r="B6" s="201" t="s">
        <v>53</v>
      </c>
      <c r="D6" s="604" t="s">
        <v>402</v>
      </c>
    </row>
    <row r="7" spans="2:6" ht="15">
      <c r="B7" s="201" t="s">
        <v>396</v>
      </c>
      <c r="D7" s="604"/>
    </row>
    <row r="8" spans="2:6" ht="15">
      <c r="B8" s="201" t="s">
        <v>571</v>
      </c>
      <c r="D8" s="604"/>
    </row>
    <row r="9" spans="2:6" ht="15">
      <c r="B9" s="201" t="s">
        <v>397</v>
      </c>
      <c r="D9" s="604"/>
    </row>
    <row r="10" spans="2:6" ht="15">
      <c r="B10" s="201" t="s">
        <v>104</v>
      </c>
      <c r="D10" s="604"/>
    </row>
    <row r="11" spans="2:6" ht="15">
      <c r="B11" s="201" t="s">
        <v>398</v>
      </c>
      <c r="D11" s="604"/>
    </row>
    <row r="12" spans="2:6" ht="15">
      <c r="B12" s="201" t="s">
        <v>399</v>
      </c>
      <c r="D12" s="604"/>
    </row>
    <row r="13" spans="2:6" ht="15">
      <c r="B13" s="201" t="s">
        <v>400</v>
      </c>
      <c r="D13" s="604"/>
    </row>
    <row r="14" spans="2:6" ht="15">
      <c r="B14" s="201" t="s">
        <v>144</v>
      </c>
      <c r="D14" s="604"/>
    </row>
    <row r="15" spans="2:6" ht="15">
      <c r="B15" s="201" t="s">
        <v>148</v>
      </c>
      <c r="D15" s="605"/>
      <c r="E15" s="202" t="s">
        <v>403</v>
      </c>
      <c r="F15" s="606"/>
    </row>
    <row r="18" spans="2:8" ht="25">
      <c r="B18" s="199" t="s">
        <v>404</v>
      </c>
    </row>
    <row r="19" spans="2:8" ht="30.75" customHeight="1">
      <c r="B19" s="203" t="s">
        <v>405</v>
      </c>
      <c r="F19" s="607"/>
    </row>
    <row r="23" spans="2:8" ht="25">
      <c r="B23" s="199" t="s">
        <v>243</v>
      </c>
    </row>
    <row r="24" spans="2:8" ht="18">
      <c r="B24" s="203" t="s">
        <v>245</v>
      </c>
      <c r="F24" s="608"/>
      <c r="G24" s="215" t="s">
        <v>244</v>
      </c>
      <c r="H24" s="608"/>
    </row>
    <row r="27" spans="2:8" ht="25">
      <c r="B27" s="199"/>
    </row>
    <row r="28" spans="2:8" ht="18">
      <c r="B28" s="203"/>
      <c r="F28" s="849"/>
      <c r="G28" s="849"/>
      <c r="H28" s="849"/>
    </row>
  </sheetData>
  <sheetProtection sheet="1" objects="1" scenarios="1"/>
  <mergeCells count="1">
    <mergeCell ref="F28:H28"/>
  </mergeCells>
  <pageMargins left="0.7" right="0.7" top="0.75" bottom="0.75" header="0.3" footer="0.3"/>
  <headerFooter>
    <oddFooter>&amp;A</oddFooter>
  </headerFooter>
  <drawing r:id="rId1"/>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theme="9"/>
    <pageSetUpPr fitToPage="1"/>
  </sheetPr>
  <dimension ref="B1:I49"/>
  <sheetViews>
    <sheetView showGridLines="0" showRowColHeaders="0" topLeftCell="A4" workbookViewId="0">
      <selection activeCell="G24" sqref="G24"/>
    </sheetView>
  </sheetViews>
  <sheetFormatPr baseColWidth="10" defaultColWidth="8.83203125" defaultRowHeight="14"/>
  <cols>
    <col min="1" max="1" width="4.1640625" style="18" customWidth="1"/>
    <col min="2" max="4" width="8.83203125" style="18"/>
    <col min="5" max="5" width="11.83203125" style="18" customWidth="1"/>
    <col min="6" max="6" width="10" style="18" customWidth="1"/>
    <col min="7" max="7" width="12.5" style="18" bestFit="1" customWidth="1"/>
    <col min="8" max="8" width="11" style="18" customWidth="1"/>
    <col min="9" max="9" width="13.5" style="18" bestFit="1" customWidth="1"/>
    <col min="10" max="259" width="8.83203125" style="18"/>
    <col min="260" max="260" width="10" style="18" customWidth="1"/>
    <col min="261" max="261" width="12.5" style="18" bestFit="1" customWidth="1"/>
    <col min="262" max="262" width="11" style="18" customWidth="1"/>
    <col min="263" max="263" width="13.5" style="18" bestFit="1" customWidth="1"/>
    <col min="264" max="515" width="8.83203125" style="18"/>
    <col min="516" max="516" width="10" style="18" customWidth="1"/>
    <col min="517" max="517" width="12.5" style="18" bestFit="1" customWidth="1"/>
    <col min="518" max="518" width="11" style="18" customWidth="1"/>
    <col min="519" max="519" width="13.5" style="18" bestFit="1" customWidth="1"/>
    <col min="520" max="771" width="8.83203125" style="18"/>
    <col min="772" max="772" width="10" style="18" customWidth="1"/>
    <col min="773" max="773" width="12.5" style="18" bestFit="1" customWidth="1"/>
    <col min="774" max="774" width="11" style="18" customWidth="1"/>
    <col min="775" max="775" width="13.5" style="18" bestFit="1" customWidth="1"/>
    <col min="776" max="1027" width="8.83203125" style="18"/>
    <col min="1028" max="1028" width="10" style="18" customWidth="1"/>
    <col min="1029" max="1029" width="12.5" style="18" bestFit="1" customWidth="1"/>
    <col min="1030" max="1030" width="11" style="18" customWidth="1"/>
    <col min="1031" max="1031" width="13.5" style="18" bestFit="1" customWidth="1"/>
    <col min="1032" max="1283" width="8.83203125" style="18"/>
    <col min="1284" max="1284" width="10" style="18" customWidth="1"/>
    <col min="1285" max="1285" width="12.5" style="18" bestFit="1" customWidth="1"/>
    <col min="1286" max="1286" width="11" style="18" customWidth="1"/>
    <col min="1287" max="1287" width="13.5" style="18" bestFit="1" customWidth="1"/>
    <col min="1288" max="1539" width="8.83203125" style="18"/>
    <col min="1540" max="1540" width="10" style="18" customWidth="1"/>
    <col min="1541" max="1541" width="12.5" style="18" bestFit="1" customWidth="1"/>
    <col min="1542" max="1542" width="11" style="18" customWidth="1"/>
    <col min="1543" max="1543" width="13.5" style="18" bestFit="1" customWidth="1"/>
    <col min="1544" max="1795" width="8.83203125" style="18"/>
    <col min="1796" max="1796" width="10" style="18" customWidth="1"/>
    <col min="1797" max="1797" width="12.5" style="18" bestFit="1" customWidth="1"/>
    <col min="1798" max="1798" width="11" style="18" customWidth="1"/>
    <col min="1799" max="1799" width="13.5" style="18" bestFit="1" customWidth="1"/>
    <col min="1800" max="2051" width="8.83203125" style="18"/>
    <col min="2052" max="2052" width="10" style="18" customWidth="1"/>
    <col min="2053" max="2053" width="12.5" style="18" bestFit="1" customWidth="1"/>
    <col min="2054" max="2054" width="11" style="18" customWidth="1"/>
    <col min="2055" max="2055" width="13.5" style="18" bestFit="1" customWidth="1"/>
    <col min="2056" max="2307" width="8.83203125" style="18"/>
    <col min="2308" max="2308" width="10" style="18" customWidth="1"/>
    <col min="2309" max="2309" width="12.5" style="18" bestFit="1" customWidth="1"/>
    <col min="2310" max="2310" width="11" style="18" customWidth="1"/>
    <col min="2311" max="2311" width="13.5" style="18" bestFit="1" customWidth="1"/>
    <col min="2312" max="2563" width="8.83203125" style="18"/>
    <col min="2564" max="2564" width="10" style="18" customWidth="1"/>
    <col min="2565" max="2565" width="12.5" style="18" bestFit="1" customWidth="1"/>
    <col min="2566" max="2566" width="11" style="18" customWidth="1"/>
    <col min="2567" max="2567" width="13.5" style="18" bestFit="1" customWidth="1"/>
    <col min="2568" max="2819" width="8.83203125" style="18"/>
    <col min="2820" max="2820" width="10" style="18" customWidth="1"/>
    <col min="2821" max="2821" width="12.5" style="18" bestFit="1" customWidth="1"/>
    <col min="2822" max="2822" width="11" style="18" customWidth="1"/>
    <col min="2823" max="2823" width="13.5" style="18" bestFit="1" customWidth="1"/>
    <col min="2824" max="3075" width="8.83203125" style="18"/>
    <col min="3076" max="3076" width="10" style="18" customWidth="1"/>
    <col min="3077" max="3077" width="12.5" style="18" bestFit="1" customWidth="1"/>
    <col min="3078" max="3078" width="11" style="18" customWidth="1"/>
    <col min="3079" max="3079" width="13.5" style="18" bestFit="1" customWidth="1"/>
    <col min="3080" max="3331" width="8.83203125" style="18"/>
    <col min="3332" max="3332" width="10" style="18" customWidth="1"/>
    <col min="3333" max="3333" width="12.5" style="18" bestFit="1" customWidth="1"/>
    <col min="3334" max="3334" width="11" style="18" customWidth="1"/>
    <col min="3335" max="3335" width="13.5" style="18" bestFit="1" customWidth="1"/>
    <col min="3336" max="3587" width="8.83203125" style="18"/>
    <col min="3588" max="3588" width="10" style="18" customWidth="1"/>
    <col min="3589" max="3589" width="12.5" style="18" bestFit="1" customWidth="1"/>
    <col min="3590" max="3590" width="11" style="18" customWidth="1"/>
    <col min="3591" max="3591" width="13.5" style="18" bestFit="1" customWidth="1"/>
    <col min="3592" max="3843" width="8.83203125" style="18"/>
    <col min="3844" max="3844" width="10" style="18" customWidth="1"/>
    <col min="3845" max="3845" width="12.5" style="18" bestFit="1" customWidth="1"/>
    <col min="3846" max="3846" width="11" style="18" customWidth="1"/>
    <col min="3847" max="3847" width="13.5" style="18" bestFit="1" customWidth="1"/>
    <col min="3848" max="4099" width="8.83203125" style="18"/>
    <col min="4100" max="4100" width="10" style="18" customWidth="1"/>
    <col min="4101" max="4101" width="12.5" style="18" bestFit="1" customWidth="1"/>
    <col min="4102" max="4102" width="11" style="18" customWidth="1"/>
    <col min="4103" max="4103" width="13.5" style="18" bestFit="1" customWidth="1"/>
    <col min="4104" max="4355" width="8.83203125" style="18"/>
    <col min="4356" max="4356" width="10" style="18" customWidth="1"/>
    <col min="4357" max="4357" width="12.5" style="18" bestFit="1" customWidth="1"/>
    <col min="4358" max="4358" width="11" style="18" customWidth="1"/>
    <col min="4359" max="4359" width="13.5" style="18" bestFit="1" customWidth="1"/>
    <col min="4360" max="4611" width="8.83203125" style="18"/>
    <col min="4612" max="4612" width="10" style="18" customWidth="1"/>
    <col min="4613" max="4613" width="12.5" style="18" bestFit="1" customWidth="1"/>
    <col min="4614" max="4614" width="11" style="18" customWidth="1"/>
    <col min="4615" max="4615" width="13.5" style="18" bestFit="1" customWidth="1"/>
    <col min="4616" max="4867" width="8.83203125" style="18"/>
    <col min="4868" max="4868" width="10" style="18" customWidth="1"/>
    <col min="4869" max="4869" width="12.5" style="18" bestFit="1" customWidth="1"/>
    <col min="4870" max="4870" width="11" style="18" customWidth="1"/>
    <col min="4871" max="4871" width="13.5" style="18" bestFit="1" customWidth="1"/>
    <col min="4872" max="5123" width="8.83203125" style="18"/>
    <col min="5124" max="5124" width="10" style="18" customWidth="1"/>
    <col min="5125" max="5125" width="12.5" style="18" bestFit="1" customWidth="1"/>
    <col min="5126" max="5126" width="11" style="18" customWidth="1"/>
    <col min="5127" max="5127" width="13.5" style="18" bestFit="1" customWidth="1"/>
    <col min="5128" max="5379" width="8.83203125" style="18"/>
    <col min="5380" max="5380" width="10" style="18" customWidth="1"/>
    <col min="5381" max="5381" width="12.5" style="18" bestFit="1" customWidth="1"/>
    <col min="5382" max="5382" width="11" style="18" customWidth="1"/>
    <col min="5383" max="5383" width="13.5" style="18" bestFit="1" customWidth="1"/>
    <col min="5384" max="5635" width="8.83203125" style="18"/>
    <col min="5636" max="5636" width="10" style="18" customWidth="1"/>
    <col min="5637" max="5637" width="12.5" style="18" bestFit="1" customWidth="1"/>
    <col min="5638" max="5638" width="11" style="18" customWidth="1"/>
    <col min="5639" max="5639" width="13.5" style="18" bestFit="1" customWidth="1"/>
    <col min="5640" max="5891" width="8.83203125" style="18"/>
    <col min="5892" max="5892" width="10" style="18" customWidth="1"/>
    <col min="5893" max="5893" width="12.5" style="18" bestFit="1" customWidth="1"/>
    <col min="5894" max="5894" width="11" style="18" customWidth="1"/>
    <col min="5895" max="5895" width="13.5" style="18" bestFit="1" customWidth="1"/>
    <col min="5896" max="6147" width="8.83203125" style="18"/>
    <col min="6148" max="6148" width="10" style="18" customWidth="1"/>
    <col min="6149" max="6149" width="12.5" style="18" bestFit="1" customWidth="1"/>
    <col min="6150" max="6150" width="11" style="18" customWidth="1"/>
    <col min="6151" max="6151" width="13.5" style="18" bestFit="1" customWidth="1"/>
    <col min="6152" max="6403" width="8.83203125" style="18"/>
    <col min="6404" max="6404" width="10" style="18" customWidth="1"/>
    <col min="6405" max="6405" width="12.5" style="18" bestFit="1" customWidth="1"/>
    <col min="6406" max="6406" width="11" style="18" customWidth="1"/>
    <col min="6407" max="6407" width="13.5" style="18" bestFit="1" customWidth="1"/>
    <col min="6408" max="6659" width="8.83203125" style="18"/>
    <col min="6660" max="6660" width="10" style="18" customWidth="1"/>
    <col min="6661" max="6661" width="12.5" style="18" bestFit="1" customWidth="1"/>
    <col min="6662" max="6662" width="11" style="18" customWidth="1"/>
    <col min="6663" max="6663" width="13.5" style="18" bestFit="1" customWidth="1"/>
    <col min="6664" max="6915" width="8.83203125" style="18"/>
    <col min="6916" max="6916" width="10" style="18" customWidth="1"/>
    <col min="6917" max="6917" width="12.5" style="18" bestFit="1" customWidth="1"/>
    <col min="6918" max="6918" width="11" style="18" customWidth="1"/>
    <col min="6919" max="6919" width="13.5" style="18" bestFit="1" customWidth="1"/>
    <col min="6920" max="7171" width="8.83203125" style="18"/>
    <col min="7172" max="7172" width="10" style="18" customWidth="1"/>
    <col min="7173" max="7173" width="12.5" style="18" bestFit="1" customWidth="1"/>
    <col min="7174" max="7174" width="11" style="18" customWidth="1"/>
    <col min="7175" max="7175" width="13.5" style="18" bestFit="1" customWidth="1"/>
    <col min="7176" max="7427" width="8.83203125" style="18"/>
    <col min="7428" max="7428" width="10" style="18" customWidth="1"/>
    <col min="7429" max="7429" width="12.5" style="18" bestFit="1" customWidth="1"/>
    <col min="7430" max="7430" width="11" style="18" customWidth="1"/>
    <col min="7431" max="7431" width="13.5" style="18" bestFit="1" customWidth="1"/>
    <col min="7432" max="7683" width="8.83203125" style="18"/>
    <col min="7684" max="7684" width="10" style="18" customWidth="1"/>
    <col min="7685" max="7685" width="12.5" style="18" bestFit="1" customWidth="1"/>
    <col min="7686" max="7686" width="11" style="18" customWidth="1"/>
    <col min="7687" max="7687" width="13.5" style="18" bestFit="1" customWidth="1"/>
    <col min="7688" max="7939" width="8.83203125" style="18"/>
    <col min="7940" max="7940" width="10" style="18" customWidth="1"/>
    <col min="7941" max="7941" width="12.5" style="18" bestFit="1" customWidth="1"/>
    <col min="7942" max="7942" width="11" style="18" customWidth="1"/>
    <col min="7943" max="7943" width="13.5" style="18" bestFit="1" customWidth="1"/>
    <col min="7944" max="8195" width="8.83203125" style="18"/>
    <col min="8196" max="8196" width="10" style="18" customWidth="1"/>
    <col min="8197" max="8197" width="12.5" style="18" bestFit="1" customWidth="1"/>
    <col min="8198" max="8198" width="11" style="18" customWidth="1"/>
    <col min="8199" max="8199" width="13.5" style="18" bestFit="1" customWidth="1"/>
    <col min="8200" max="8451" width="8.83203125" style="18"/>
    <col min="8452" max="8452" width="10" style="18" customWidth="1"/>
    <col min="8453" max="8453" width="12.5" style="18" bestFit="1" customWidth="1"/>
    <col min="8454" max="8454" width="11" style="18" customWidth="1"/>
    <col min="8455" max="8455" width="13.5" style="18" bestFit="1" customWidth="1"/>
    <col min="8456" max="8707" width="8.83203125" style="18"/>
    <col min="8708" max="8708" width="10" style="18" customWidth="1"/>
    <col min="8709" max="8709" width="12.5" style="18" bestFit="1" customWidth="1"/>
    <col min="8710" max="8710" width="11" style="18" customWidth="1"/>
    <col min="8711" max="8711" width="13.5" style="18" bestFit="1" customWidth="1"/>
    <col min="8712" max="8963" width="8.83203125" style="18"/>
    <col min="8964" max="8964" width="10" style="18" customWidth="1"/>
    <col min="8965" max="8965" width="12.5" style="18" bestFit="1" customWidth="1"/>
    <col min="8966" max="8966" width="11" style="18" customWidth="1"/>
    <col min="8967" max="8967" width="13.5" style="18" bestFit="1" customWidth="1"/>
    <col min="8968" max="9219" width="8.83203125" style="18"/>
    <col min="9220" max="9220" width="10" style="18" customWidth="1"/>
    <col min="9221" max="9221" width="12.5" style="18" bestFit="1" customWidth="1"/>
    <col min="9222" max="9222" width="11" style="18" customWidth="1"/>
    <col min="9223" max="9223" width="13.5" style="18" bestFit="1" customWidth="1"/>
    <col min="9224" max="9475" width="8.83203125" style="18"/>
    <col min="9476" max="9476" width="10" style="18" customWidth="1"/>
    <col min="9477" max="9477" width="12.5" style="18" bestFit="1" customWidth="1"/>
    <col min="9478" max="9478" width="11" style="18" customWidth="1"/>
    <col min="9479" max="9479" width="13.5" style="18" bestFit="1" customWidth="1"/>
    <col min="9480" max="9731" width="8.83203125" style="18"/>
    <col min="9732" max="9732" width="10" style="18" customWidth="1"/>
    <col min="9733" max="9733" width="12.5" style="18" bestFit="1" customWidth="1"/>
    <col min="9734" max="9734" width="11" style="18" customWidth="1"/>
    <col min="9735" max="9735" width="13.5" style="18" bestFit="1" customWidth="1"/>
    <col min="9736" max="9987" width="8.83203125" style="18"/>
    <col min="9988" max="9988" width="10" style="18" customWidth="1"/>
    <col min="9989" max="9989" width="12.5" style="18" bestFit="1" customWidth="1"/>
    <col min="9990" max="9990" width="11" style="18" customWidth="1"/>
    <col min="9991" max="9991" width="13.5" style="18" bestFit="1" customWidth="1"/>
    <col min="9992" max="10243" width="8.83203125" style="18"/>
    <col min="10244" max="10244" width="10" style="18" customWidth="1"/>
    <col min="10245" max="10245" width="12.5" style="18" bestFit="1" customWidth="1"/>
    <col min="10246" max="10246" width="11" style="18" customWidth="1"/>
    <col min="10247" max="10247" width="13.5" style="18" bestFit="1" customWidth="1"/>
    <col min="10248" max="10499" width="8.83203125" style="18"/>
    <col min="10500" max="10500" width="10" style="18" customWidth="1"/>
    <col min="10501" max="10501" width="12.5" style="18" bestFit="1" customWidth="1"/>
    <col min="10502" max="10502" width="11" style="18" customWidth="1"/>
    <col min="10503" max="10503" width="13.5" style="18" bestFit="1" customWidth="1"/>
    <col min="10504" max="10755" width="8.83203125" style="18"/>
    <col min="10756" max="10756" width="10" style="18" customWidth="1"/>
    <col min="10757" max="10757" width="12.5" style="18" bestFit="1" customWidth="1"/>
    <col min="10758" max="10758" width="11" style="18" customWidth="1"/>
    <col min="10759" max="10759" width="13.5" style="18" bestFit="1" customWidth="1"/>
    <col min="10760" max="11011" width="8.83203125" style="18"/>
    <col min="11012" max="11012" width="10" style="18" customWidth="1"/>
    <col min="11013" max="11013" width="12.5" style="18" bestFit="1" customWidth="1"/>
    <col min="11014" max="11014" width="11" style="18" customWidth="1"/>
    <col min="11015" max="11015" width="13.5" style="18" bestFit="1" customWidth="1"/>
    <col min="11016" max="11267" width="8.83203125" style="18"/>
    <col min="11268" max="11268" width="10" style="18" customWidth="1"/>
    <col min="11269" max="11269" width="12.5" style="18" bestFit="1" customWidth="1"/>
    <col min="11270" max="11270" width="11" style="18" customWidth="1"/>
    <col min="11271" max="11271" width="13.5" style="18" bestFit="1" customWidth="1"/>
    <col min="11272" max="11523" width="8.83203125" style="18"/>
    <col min="11524" max="11524" width="10" style="18" customWidth="1"/>
    <col min="11525" max="11525" width="12.5" style="18" bestFit="1" customWidth="1"/>
    <col min="11526" max="11526" width="11" style="18" customWidth="1"/>
    <col min="11527" max="11527" width="13.5" style="18" bestFit="1" customWidth="1"/>
    <col min="11528" max="11779" width="8.83203125" style="18"/>
    <col min="11780" max="11780" width="10" style="18" customWidth="1"/>
    <col min="11781" max="11781" width="12.5" style="18" bestFit="1" customWidth="1"/>
    <col min="11782" max="11782" width="11" style="18" customWidth="1"/>
    <col min="11783" max="11783" width="13.5" style="18" bestFit="1" customWidth="1"/>
    <col min="11784" max="12035" width="8.83203125" style="18"/>
    <col min="12036" max="12036" width="10" style="18" customWidth="1"/>
    <col min="12037" max="12037" width="12.5" style="18" bestFit="1" customWidth="1"/>
    <col min="12038" max="12038" width="11" style="18" customWidth="1"/>
    <col min="12039" max="12039" width="13.5" style="18" bestFit="1" customWidth="1"/>
    <col min="12040" max="12291" width="8.83203125" style="18"/>
    <col min="12292" max="12292" width="10" style="18" customWidth="1"/>
    <col min="12293" max="12293" width="12.5" style="18" bestFit="1" customWidth="1"/>
    <col min="12294" max="12294" width="11" style="18" customWidth="1"/>
    <col min="12295" max="12295" width="13.5" style="18" bestFit="1" customWidth="1"/>
    <col min="12296" max="12547" width="8.83203125" style="18"/>
    <col min="12548" max="12548" width="10" style="18" customWidth="1"/>
    <col min="12549" max="12549" width="12.5" style="18" bestFit="1" customWidth="1"/>
    <col min="12550" max="12550" width="11" style="18" customWidth="1"/>
    <col min="12551" max="12551" width="13.5" style="18" bestFit="1" customWidth="1"/>
    <col min="12552" max="12803" width="8.83203125" style="18"/>
    <col min="12804" max="12804" width="10" style="18" customWidth="1"/>
    <col min="12805" max="12805" width="12.5" style="18" bestFit="1" customWidth="1"/>
    <col min="12806" max="12806" width="11" style="18" customWidth="1"/>
    <col min="12807" max="12807" width="13.5" style="18" bestFit="1" customWidth="1"/>
    <col min="12808" max="13059" width="8.83203125" style="18"/>
    <col min="13060" max="13060" width="10" style="18" customWidth="1"/>
    <col min="13061" max="13061" width="12.5" style="18" bestFit="1" customWidth="1"/>
    <col min="13062" max="13062" width="11" style="18" customWidth="1"/>
    <col min="13063" max="13063" width="13.5" style="18" bestFit="1" customWidth="1"/>
    <col min="13064" max="13315" width="8.83203125" style="18"/>
    <col min="13316" max="13316" width="10" style="18" customWidth="1"/>
    <col min="13317" max="13317" width="12.5" style="18" bestFit="1" customWidth="1"/>
    <col min="13318" max="13318" width="11" style="18" customWidth="1"/>
    <col min="13319" max="13319" width="13.5" style="18" bestFit="1" customWidth="1"/>
    <col min="13320" max="13571" width="8.83203125" style="18"/>
    <col min="13572" max="13572" width="10" style="18" customWidth="1"/>
    <col min="13573" max="13573" width="12.5" style="18" bestFit="1" customWidth="1"/>
    <col min="13574" max="13574" width="11" style="18" customWidth="1"/>
    <col min="13575" max="13575" width="13.5" style="18" bestFit="1" customWidth="1"/>
    <col min="13576" max="13827" width="8.83203125" style="18"/>
    <col min="13828" max="13828" width="10" style="18" customWidth="1"/>
    <col min="13829" max="13829" width="12.5" style="18" bestFit="1" customWidth="1"/>
    <col min="13830" max="13830" width="11" style="18" customWidth="1"/>
    <col min="13831" max="13831" width="13.5" style="18" bestFit="1" customWidth="1"/>
    <col min="13832" max="14083" width="8.83203125" style="18"/>
    <col min="14084" max="14084" width="10" style="18" customWidth="1"/>
    <col min="14085" max="14085" width="12.5" style="18" bestFit="1" customWidth="1"/>
    <col min="14086" max="14086" width="11" style="18" customWidth="1"/>
    <col min="14087" max="14087" width="13.5" style="18" bestFit="1" customWidth="1"/>
    <col min="14088" max="14339" width="8.83203125" style="18"/>
    <col min="14340" max="14340" width="10" style="18" customWidth="1"/>
    <col min="14341" max="14341" width="12.5" style="18" bestFit="1" customWidth="1"/>
    <col min="14342" max="14342" width="11" style="18" customWidth="1"/>
    <col min="14343" max="14343" width="13.5" style="18" bestFit="1" customWidth="1"/>
    <col min="14344" max="14595" width="8.83203125" style="18"/>
    <col min="14596" max="14596" width="10" style="18" customWidth="1"/>
    <col min="14597" max="14597" width="12.5" style="18" bestFit="1" customWidth="1"/>
    <col min="14598" max="14598" width="11" style="18" customWidth="1"/>
    <col min="14599" max="14599" width="13.5" style="18" bestFit="1" customWidth="1"/>
    <col min="14600" max="14851" width="8.83203125" style="18"/>
    <col min="14852" max="14852" width="10" style="18" customWidth="1"/>
    <col min="14853" max="14853" width="12.5" style="18" bestFit="1" customWidth="1"/>
    <col min="14854" max="14854" width="11" style="18" customWidth="1"/>
    <col min="14855" max="14855" width="13.5" style="18" bestFit="1" customWidth="1"/>
    <col min="14856" max="15107" width="8.83203125" style="18"/>
    <col min="15108" max="15108" width="10" style="18" customWidth="1"/>
    <col min="15109" max="15109" width="12.5" style="18" bestFit="1" customWidth="1"/>
    <col min="15110" max="15110" width="11" style="18" customWidth="1"/>
    <col min="15111" max="15111" width="13.5" style="18" bestFit="1" customWidth="1"/>
    <col min="15112" max="15363" width="8.83203125" style="18"/>
    <col min="15364" max="15364" width="10" style="18" customWidth="1"/>
    <col min="15365" max="15365" width="12.5" style="18" bestFit="1" customWidth="1"/>
    <col min="15366" max="15366" width="11" style="18" customWidth="1"/>
    <col min="15367" max="15367" width="13.5" style="18" bestFit="1" customWidth="1"/>
    <col min="15368" max="15619" width="8.83203125" style="18"/>
    <col min="15620" max="15620" width="10" style="18" customWidth="1"/>
    <col min="15621" max="15621" width="12.5" style="18" bestFit="1" customWidth="1"/>
    <col min="15622" max="15622" width="11" style="18" customWidth="1"/>
    <col min="15623" max="15623" width="13.5" style="18" bestFit="1" customWidth="1"/>
    <col min="15624" max="15875" width="8.83203125" style="18"/>
    <col min="15876" max="15876" width="10" style="18" customWidth="1"/>
    <col min="15877" max="15877" width="12.5" style="18" bestFit="1" customWidth="1"/>
    <col min="15878" max="15878" width="11" style="18" customWidth="1"/>
    <col min="15879" max="15879" width="13.5" style="18" bestFit="1" customWidth="1"/>
    <col min="15880" max="16131" width="8.83203125" style="18"/>
    <col min="16132" max="16132" width="10" style="18" customWidth="1"/>
    <col min="16133" max="16133" width="12.5" style="18" bestFit="1" customWidth="1"/>
    <col min="16134" max="16134" width="11" style="18" customWidth="1"/>
    <col min="16135" max="16135" width="13.5" style="18" bestFit="1" customWidth="1"/>
    <col min="16136" max="16384" width="8.83203125" style="18"/>
  </cols>
  <sheetData>
    <row r="1" spans="2:9" ht="85.5" customHeight="1">
      <c r="B1" s="58" t="str">
        <f>'1. Cow-Calf_InputForm'!F3-1&amp;"-born Ranch-Raised Yearling Bulls - COST OF PRODUCTION"</f>
        <v>-1-born Ranch-Raised Yearling Bulls - COST OF PRODUCTION</v>
      </c>
    </row>
    <row r="2" spans="2:9" ht="9" customHeight="1">
      <c r="B2" s="17"/>
    </row>
    <row r="3" spans="2:9" ht="13.5" customHeight="1">
      <c r="B3" s="17" t="s">
        <v>70</v>
      </c>
      <c r="F3" s="20">
        <f>'2b. HomeRaisedBulls_InputForm'!D13</f>
        <v>0</v>
      </c>
    </row>
    <row r="4" spans="2:9" ht="13.5" customHeight="1">
      <c r="B4" s="17" t="s">
        <v>71</v>
      </c>
      <c r="F4" s="20">
        <f>'2b. HomeRaisedBulls_InputForm'!F13</f>
        <v>0</v>
      </c>
    </row>
    <row r="5" spans="2:9" ht="13.5" customHeight="1">
      <c r="B5" s="17" t="s">
        <v>578</v>
      </c>
      <c r="F5" s="20">
        <f>'2b. HomeRaisedBulls_InputForm'!L13</f>
        <v>0</v>
      </c>
    </row>
    <row r="6" spans="2:9" ht="13.5" customHeight="1">
      <c r="B6" s="17" t="s">
        <v>580</v>
      </c>
      <c r="F6" s="20">
        <f>'2b. HomeRaisedBulls_InputForm'!H13</f>
        <v>0</v>
      </c>
    </row>
    <row r="7" spans="2:9" ht="13.5" customHeight="1">
      <c r="B7" s="17" t="s">
        <v>579</v>
      </c>
      <c r="F7" s="20">
        <f>'2b. HomeRaisedBulls_InputForm'!J13</f>
        <v>0</v>
      </c>
    </row>
    <row r="8" spans="2:9" ht="13.5" customHeight="1">
      <c r="B8" s="17"/>
      <c r="F8" s="20"/>
    </row>
    <row r="9" spans="2:9" ht="13.5" customHeight="1">
      <c r="B9" s="17" t="s">
        <v>153</v>
      </c>
      <c r="C9" s="22"/>
      <c r="D9" s="22"/>
      <c r="G9" s="22" t="s">
        <v>11</v>
      </c>
      <c r="H9" s="22" t="s">
        <v>72</v>
      </c>
      <c r="I9" s="22"/>
    </row>
    <row r="10" spans="2:9" ht="13.5" customHeight="1">
      <c r="B10" s="18" t="s">
        <v>234</v>
      </c>
      <c r="C10" s="22"/>
      <c r="D10" s="22"/>
      <c r="G10" s="25">
        <f>'2b. HomeRaisedBulls_InputForm'!H27+'2b. HomeRaisedBulls_InputForm'!H29</f>
        <v>0</v>
      </c>
      <c r="H10" s="22"/>
      <c r="I10" s="22"/>
    </row>
    <row r="11" spans="2:9" ht="13.5" customHeight="1">
      <c r="B11" s="18" t="s">
        <v>581</v>
      </c>
      <c r="C11" s="22"/>
      <c r="D11" s="22"/>
      <c r="G11" s="25">
        <f>'2b. HomeRaisedBulls_InputForm'!L13*'2b. HomeRaisedBulls_InputForm'!L15</f>
        <v>0</v>
      </c>
      <c r="H11" s="22"/>
      <c r="I11" s="22"/>
    </row>
    <row r="12" spans="2:9" ht="13.5" customHeight="1">
      <c r="B12" s="17" t="s">
        <v>224</v>
      </c>
      <c r="C12" s="22"/>
      <c r="D12" s="22"/>
      <c r="E12" s="17"/>
      <c r="F12" s="22" t="s">
        <v>34</v>
      </c>
      <c r="G12" s="28">
        <f>SUM(G10:G11)</f>
        <v>0</v>
      </c>
      <c r="H12" s="29" t="e">
        <f>G12/F3</f>
        <v>#DIV/0!</v>
      </c>
      <c r="I12" s="29"/>
    </row>
    <row r="13" spans="2:9" ht="13.5" customHeight="1">
      <c r="C13" s="24"/>
      <c r="D13" s="24"/>
      <c r="F13" s="22"/>
      <c r="G13" s="25"/>
      <c r="H13" s="24"/>
      <c r="I13" s="24"/>
    </row>
    <row r="14" spans="2:9" ht="13.5" customHeight="1">
      <c r="B14" s="17" t="s">
        <v>33</v>
      </c>
      <c r="C14" s="17"/>
      <c r="F14" s="22"/>
      <c r="G14" s="28" t="s">
        <v>11</v>
      </c>
      <c r="H14" s="22" t="s">
        <v>72</v>
      </c>
      <c r="I14" s="22"/>
    </row>
    <row r="15" spans="2:9" ht="13.5" customHeight="1">
      <c r="B15" s="18" t="s">
        <v>582</v>
      </c>
      <c r="C15" s="17"/>
      <c r="F15" s="22"/>
      <c r="G15" s="25">
        <f>'2b. HomeRaisedBulls_InputForm'!D13*'2b. HomeRaisedBulls_InputForm'!D15</f>
        <v>0</v>
      </c>
      <c r="H15" s="26" t="e">
        <f t="shared" ref="H15:H21" si="0">G15/$F$3</f>
        <v>#DIV/0!</v>
      </c>
      <c r="I15" s="26"/>
    </row>
    <row r="16" spans="2:9" ht="13.5" customHeight="1">
      <c r="B16" s="18" t="s">
        <v>119</v>
      </c>
      <c r="F16" s="22"/>
      <c r="G16" s="25">
        <f>SUM('2b. HomeRaisedBulls_InputForm'!F39:F43)+SUM('2b. HomeRaisedBulls_InputForm'!P39:P43)</f>
        <v>0</v>
      </c>
      <c r="H16" s="26" t="e">
        <f t="shared" si="0"/>
        <v>#DIV/0!</v>
      </c>
      <c r="I16" s="26"/>
    </row>
    <row r="17" spans="2:9" ht="13.5" customHeight="1">
      <c r="B17" s="18" t="s">
        <v>143</v>
      </c>
      <c r="F17" s="22"/>
      <c r="G17" s="25">
        <f>SUM('2b. HomeRaisedBulls_InputForm'!H50:H54)+SUM('2b. HomeRaisedBulls_InputForm'!T50:T54)</f>
        <v>0</v>
      </c>
      <c r="H17" s="26" t="e">
        <f t="shared" si="0"/>
        <v>#DIV/0!</v>
      </c>
      <c r="I17" s="26"/>
    </row>
    <row r="18" spans="2:9" ht="13.5" customHeight="1">
      <c r="B18" s="18" t="s">
        <v>118</v>
      </c>
      <c r="F18" s="22"/>
      <c r="G18" s="25" t="e">
        <f>'10. Expenses'!J13</f>
        <v>#DIV/0!</v>
      </c>
      <c r="H18" s="26" t="e">
        <f t="shared" si="0"/>
        <v>#DIV/0!</v>
      </c>
      <c r="I18" s="26"/>
    </row>
    <row r="19" spans="2:9" ht="13.5" customHeight="1">
      <c r="B19" s="18" t="s">
        <v>31</v>
      </c>
      <c r="F19" s="22"/>
      <c r="G19" s="25" t="e">
        <f>'10. Expenses'!J21</f>
        <v>#DIV/0!</v>
      </c>
      <c r="H19" s="26" t="e">
        <f t="shared" si="0"/>
        <v>#DIV/0!</v>
      </c>
      <c r="I19" s="26"/>
    </row>
    <row r="20" spans="2:9" ht="13.5" customHeight="1">
      <c r="B20" s="18" t="s">
        <v>200</v>
      </c>
      <c r="F20" s="22"/>
      <c r="G20" s="25">
        <f>'10. Expenses'!J29</f>
        <v>0</v>
      </c>
      <c r="H20" s="26" t="e">
        <f t="shared" si="0"/>
        <v>#DIV/0!</v>
      </c>
      <c r="I20" s="26"/>
    </row>
    <row r="21" spans="2:9" ht="13.5" customHeight="1">
      <c r="B21" s="17" t="s">
        <v>29</v>
      </c>
      <c r="F21" s="22" t="s">
        <v>28</v>
      </c>
      <c r="G21" s="28" t="e">
        <f>SUM(G15:G19)</f>
        <v>#DIV/0!</v>
      </c>
      <c r="H21" s="29" t="e">
        <f t="shared" si="0"/>
        <v>#DIV/0!</v>
      </c>
      <c r="I21" s="29"/>
    </row>
    <row r="22" spans="2:9" ht="13.5" customHeight="1">
      <c r="B22" s="17"/>
      <c r="F22" s="22"/>
      <c r="G22" s="25"/>
      <c r="H22" s="31"/>
      <c r="I22" s="31"/>
    </row>
    <row r="23" spans="2:9" ht="13.5" customHeight="1">
      <c r="B23" s="17" t="s">
        <v>27</v>
      </c>
      <c r="F23" s="22"/>
      <c r="G23" s="28" t="s">
        <v>11</v>
      </c>
      <c r="H23" s="22" t="s">
        <v>72</v>
      </c>
      <c r="I23" s="22"/>
    </row>
    <row r="24" spans="2:9" ht="13.5" customHeight="1">
      <c r="B24" s="18" t="s">
        <v>145</v>
      </c>
      <c r="F24" s="22"/>
      <c r="G24" s="25">
        <f>'10. Expenses'!N42</f>
        <v>0</v>
      </c>
      <c r="H24" s="26" t="e">
        <f>G24/F3</f>
        <v>#DIV/0!</v>
      </c>
      <c r="I24" s="32"/>
    </row>
    <row r="25" spans="2:9" ht="13.5" customHeight="1">
      <c r="B25" s="18" t="s">
        <v>26</v>
      </c>
      <c r="F25" s="22"/>
      <c r="G25" s="25">
        <f>'10. Expenses'!N55</f>
        <v>0</v>
      </c>
      <c r="H25" s="26" t="e">
        <f>G25/$F$3</f>
        <v>#DIV/0!</v>
      </c>
      <c r="I25" s="32"/>
    </row>
    <row r="26" spans="2:9" ht="13.5" customHeight="1">
      <c r="B26" s="18" t="s">
        <v>25</v>
      </c>
      <c r="F26" s="22"/>
      <c r="G26" s="25">
        <f>'10. Expenses'!N62</f>
        <v>0</v>
      </c>
      <c r="H26" s="26" t="e">
        <f t="shared" ref="H26:H33" si="1">G26/$F$3</f>
        <v>#DIV/0!</v>
      </c>
      <c r="I26" s="32"/>
    </row>
    <row r="27" spans="2:9" ht="13.5" customHeight="1">
      <c r="B27" s="18" t="s">
        <v>226</v>
      </c>
      <c r="F27" s="22"/>
      <c r="G27" s="25" t="e">
        <f>'10. Expenses'!N75</f>
        <v>#DIV/0!</v>
      </c>
      <c r="H27" s="26" t="e">
        <f t="shared" si="1"/>
        <v>#DIV/0!</v>
      </c>
      <c r="I27" s="32"/>
    </row>
    <row r="28" spans="2:9" ht="13.5" customHeight="1">
      <c r="B28" s="18" t="s">
        <v>23</v>
      </c>
      <c r="F28" s="22"/>
      <c r="G28" s="25" t="e">
        <f>'10. Expenses'!N82</f>
        <v>#DIV/0!</v>
      </c>
      <c r="H28" s="26" t="e">
        <f t="shared" si="1"/>
        <v>#DIV/0!</v>
      </c>
      <c r="I28" s="32"/>
    </row>
    <row r="29" spans="2:9" ht="13.5" customHeight="1">
      <c r="B29" s="18" t="s">
        <v>22</v>
      </c>
      <c r="F29" s="22"/>
      <c r="G29" s="25">
        <f>'10. Expenses'!N87</f>
        <v>0</v>
      </c>
      <c r="H29" s="26" t="e">
        <f t="shared" si="1"/>
        <v>#DIV/0!</v>
      </c>
      <c r="I29" s="32"/>
    </row>
    <row r="30" spans="2:9" ht="13.5" customHeight="1">
      <c r="B30" s="18" t="s">
        <v>150</v>
      </c>
      <c r="F30" s="22"/>
      <c r="G30" s="25">
        <f>'11. Unpaid Labour'!P8</f>
        <v>0</v>
      </c>
      <c r="H30" s="26" t="e">
        <f t="shared" si="1"/>
        <v>#DIV/0!</v>
      </c>
      <c r="I30" s="32"/>
    </row>
    <row r="31" spans="2:9" ht="13.5" customHeight="1">
      <c r="B31" s="18" t="s">
        <v>120</v>
      </c>
      <c r="F31" s="22"/>
      <c r="G31" s="25" t="e">
        <f>'10. Expenses'!N97</f>
        <v>#DIV/0!</v>
      </c>
      <c r="H31" s="26" t="e">
        <f t="shared" si="1"/>
        <v>#DIV/0!</v>
      </c>
      <c r="I31" s="32"/>
    </row>
    <row r="32" spans="2:9" ht="13.5" customHeight="1">
      <c r="B32" s="18" t="s">
        <v>20</v>
      </c>
      <c r="F32" s="22"/>
      <c r="G32" s="25" t="e">
        <f>'12. Assets_for Depreciation'!P26+'12. Assets_for Depreciation'!P51+'12. Assets_for Depreciation'!P86</f>
        <v>#DIV/0!</v>
      </c>
      <c r="H32" s="26" t="e">
        <f t="shared" si="1"/>
        <v>#DIV/0!</v>
      </c>
      <c r="I32" s="32"/>
    </row>
    <row r="33" spans="2:9" ht="13.5" customHeight="1">
      <c r="B33" s="18" t="s">
        <v>19</v>
      </c>
      <c r="F33" s="22"/>
      <c r="G33" s="25">
        <f>'10. Expenses'!N102</f>
        <v>0</v>
      </c>
      <c r="H33" s="26" t="e">
        <f t="shared" si="1"/>
        <v>#DIV/0!</v>
      </c>
      <c r="I33" s="32"/>
    </row>
    <row r="34" spans="2:9" ht="13.5" customHeight="1">
      <c r="B34" s="17" t="s">
        <v>18</v>
      </c>
      <c r="F34" s="22" t="s">
        <v>17</v>
      </c>
      <c r="G34" s="28" t="e">
        <f>SUM(G24:G33)</f>
        <v>#DIV/0!</v>
      </c>
      <c r="H34" s="29" t="e">
        <f>G34/$F$3</f>
        <v>#DIV/0!</v>
      </c>
      <c r="I34" s="33"/>
    </row>
    <row r="35" spans="2:9" ht="13.5" customHeight="1">
      <c r="F35" s="22"/>
      <c r="G35" s="25"/>
      <c r="H35" s="31"/>
      <c r="I35" s="31"/>
    </row>
    <row r="36" spans="2:9" ht="13.5" customHeight="1">
      <c r="B36" s="17" t="s">
        <v>16</v>
      </c>
      <c r="F36" s="22"/>
      <c r="G36" s="28" t="s">
        <v>11</v>
      </c>
      <c r="H36" s="22" t="s">
        <v>72</v>
      </c>
      <c r="I36" s="22"/>
    </row>
    <row r="37" spans="2:9" ht="13.5" customHeight="1">
      <c r="B37" s="18" t="s">
        <v>15</v>
      </c>
      <c r="F37" s="22"/>
      <c r="G37" s="25" t="e">
        <f>'10. Expenses'!AR105</f>
        <v>#DIV/0!</v>
      </c>
      <c r="H37" s="26" t="e">
        <f>G37/$F$3</f>
        <v>#DIV/0!</v>
      </c>
      <c r="I37" s="32"/>
    </row>
    <row r="38" spans="2:9" ht="13.5" customHeight="1">
      <c r="B38" s="18" t="s">
        <v>189</v>
      </c>
      <c r="F38" s="22"/>
      <c r="G38" s="25" t="e">
        <f>'10. Expenses'!AR107+'10. Expenses'!AR106</f>
        <v>#DIV/0!</v>
      </c>
      <c r="H38" s="26" t="e">
        <f>G38/$F$3</f>
        <v>#DIV/0!</v>
      </c>
      <c r="I38" s="32"/>
    </row>
    <row r="39" spans="2:9" ht="13.5" customHeight="1">
      <c r="B39" s="18" t="s">
        <v>468</v>
      </c>
      <c r="F39" s="22"/>
      <c r="G39" s="25" t="e">
        <f>'10. Expenses'!N114</f>
        <v>#DIV/0!</v>
      </c>
      <c r="H39" s="26" t="e">
        <f>G39/$F$3</f>
        <v>#DIV/0!</v>
      </c>
      <c r="I39" s="32"/>
    </row>
    <row r="40" spans="2:9" ht="13.5" customHeight="1">
      <c r="B40" s="17" t="s">
        <v>13</v>
      </c>
      <c r="F40" s="22" t="s">
        <v>12</v>
      </c>
      <c r="G40" s="28" t="e">
        <f>SUM(G37:G39)</f>
        <v>#DIV/0!</v>
      </c>
      <c r="H40" s="29" t="e">
        <f>G40/$F$3</f>
        <v>#DIV/0!</v>
      </c>
      <c r="I40" s="33"/>
    </row>
    <row r="41" spans="2:9" ht="13.5" customHeight="1">
      <c r="B41" s="17"/>
      <c r="F41" s="22"/>
      <c r="G41" s="28"/>
      <c r="H41" s="29"/>
      <c r="I41" s="33"/>
    </row>
    <row r="42" spans="2:9" ht="13.5" customHeight="1">
      <c r="F42" s="22"/>
      <c r="G42" s="28" t="s">
        <v>11</v>
      </c>
      <c r="H42" s="22" t="s">
        <v>72</v>
      </c>
      <c r="I42" s="22"/>
    </row>
    <row r="43" spans="2:9" ht="13.5" customHeight="1">
      <c r="B43" s="17" t="s">
        <v>8</v>
      </c>
      <c r="C43" s="17"/>
      <c r="F43" s="22" t="s">
        <v>7</v>
      </c>
      <c r="G43" s="25" t="e">
        <f>G40+G34+G21</f>
        <v>#DIV/0!</v>
      </c>
      <c r="H43" s="25" t="e">
        <f>G43/F3</f>
        <v>#DIV/0!</v>
      </c>
      <c r="I43" s="32"/>
    </row>
    <row r="44" spans="2:9" ht="13.5" customHeight="1">
      <c r="B44" s="17" t="s">
        <v>6</v>
      </c>
      <c r="C44" s="17"/>
      <c r="F44" s="22" t="s">
        <v>5</v>
      </c>
      <c r="G44" s="20" t="e">
        <f>G43-G30</f>
        <v>#DIV/0!</v>
      </c>
      <c r="H44" s="25" t="e">
        <f>H43-H30</f>
        <v>#DIV/0!</v>
      </c>
      <c r="I44" s="26"/>
    </row>
    <row r="45" spans="2:9" ht="13.5" customHeight="1">
      <c r="B45" s="17" t="s">
        <v>227</v>
      </c>
      <c r="C45" s="17"/>
      <c r="D45" s="31"/>
      <c r="E45" s="31"/>
      <c r="F45" s="27" t="s">
        <v>3</v>
      </c>
      <c r="G45" s="25" t="e">
        <f>G12-G43</f>
        <v>#DIV/0!</v>
      </c>
      <c r="H45" s="26" t="e">
        <f>G45/F3</f>
        <v>#DIV/0!</v>
      </c>
      <c r="I45" s="32"/>
    </row>
    <row r="46" spans="2:9" ht="13.5" customHeight="1">
      <c r="B46" s="17" t="s">
        <v>2</v>
      </c>
      <c r="C46" s="17"/>
      <c r="D46" s="27"/>
      <c r="E46" s="27"/>
      <c r="F46" s="27" t="s">
        <v>1</v>
      </c>
      <c r="G46" s="25" t="e">
        <f>G45+G30</f>
        <v>#DIV/0!</v>
      </c>
      <c r="H46" s="26" t="e">
        <f>H45+H30</f>
        <v>#DIV/0!</v>
      </c>
      <c r="I46" s="26"/>
    </row>
    <row r="48" spans="2:9">
      <c r="B48" s="553" t="s">
        <v>583</v>
      </c>
      <c r="C48" s="553"/>
      <c r="D48" s="553"/>
      <c r="E48" s="553"/>
      <c r="F48" s="553"/>
      <c r="G48" s="554" t="e">
        <f>H43</f>
        <v>#DIV/0!</v>
      </c>
      <c r="H48" s="553" t="s">
        <v>617</v>
      </c>
    </row>
    <row r="49" spans="2:2">
      <c r="B49" s="569" t="s">
        <v>584</v>
      </c>
    </row>
  </sheetData>
  <sheetCalcPr fullCalcOnLoad="1"/>
  <pageMargins left="0.75" right="0.75" top="1" bottom="1" header="0.5" footer="0.5"/>
  <headerFooter alignWithMargins="0">
    <oddFooter>&amp;L&amp;A&amp;R&amp;D</oddFooter>
  </headerFooter>
  <drawing r:id="rId1"/>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rgb="FFFFFF00"/>
    <pageSetUpPr fitToPage="1"/>
  </sheetPr>
  <dimension ref="B1:I48"/>
  <sheetViews>
    <sheetView showGridLines="0" showRowColHeaders="0" workbookViewId="0">
      <selection activeCell="I44" sqref="I44"/>
    </sheetView>
  </sheetViews>
  <sheetFormatPr baseColWidth="10" defaultColWidth="8.83203125" defaultRowHeight="14"/>
  <cols>
    <col min="1" max="1" width="4" style="19" customWidth="1"/>
    <col min="2" max="5" width="8.83203125" style="19"/>
    <col min="6" max="6" width="12.5" style="19" customWidth="1"/>
    <col min="7" max="7" width="12.5" style="19" bestFit="1" customWidth="1"/>
    <col min="8" max="8" width="11" style="19" customWidth="1"/>
    <col min="9" max="9" width="13.5" style="19" bestFit="1" customWidth="1"/>
    <col min="10" max="261" width="8.83203125" style="19"/>
    <col min="262" max="262" width="10.83203125" style="19" customWidth="1"/>
    <col min="263" max="263" width="12.5" style="19" bestFit="1" customWidth="1"/>
    <col min="264" max="264" width="11" style="19" customWidth="1"/>
    <col min="265" max="265" width="13.5" style="19" bestFit="1" customWidth="1"/>
    <col min="266" max="517" width="8.83203125" style="19"/>
    <col min="518" max="518" width="10.83203125" style="19" customWidth="1"/>
    <col min="519" max="519" width="12.5" style="19" bestFit="1" customWidth="1"/>
    <col min="520" max="520" width="11" style="19" customWidth="1"/>
    <col min="521" max="521" width="13.5" style="19" bestFit="1" customWidth="1"/>
    <col min="522" max="773" width="8.83203125" style="19"/>
    <col min="774" max="774" width="10.83203125" style="19" customWidth="1"/>
    <col min="775" max="775" width="12.5" style="19" bestFit="1" customWidth="1"/>
    <col min="776" max="776" width="11" style="19" customWidth="1"/>
    <col min="777" max="777" width="13.5" style="19" bestFit="1" customWidth="1"/>
    <col min="778" max="1029" width="8.83203125" style="19"/>
    <col min="1030" max="1030" width="10.83203125" style="19" customWidth="1"/>
    <col min="1031" max="1031" width="12.5" style="19" bestFit="1" customWidth="1"/>
    <col min="1032" max="1032" width="11" style="19" customWidth="1"/>
    <col min="1033" max="1033" width="13.5" style="19" bestFit="1" customWidth="1"/>
    <col min="1034" max="1285" width="8.83203125" style="19"/>
    <col min="1286" max="1286" width="10.83203125" style="19" customWidth="1"/>
    <col min="1287" max="1287" width="12.5" style="19" bestFit="1" customWidth="1"/>
    <col min="1288" max="1288" width="11" style="19" customWidth="1"/>
    <col min="1289" max="1289" width="13.5" style="19" bestFit="1" customWidth="1"/>
    <col min="1290" max="1541" width="8.83203125" style="19"/>
    <col min="1542" max="1542" width="10.83203125" style="19" customWidth="1"/>
    <col min="1543" max="1543" width="12.5" style="19" bestFit="1" customWidth="1"/>
    <col min="1544" max="1544" width="11" style="19" customWidth="1"/>
    <col min="1545" max="1545" width="13.5" style="19" bestFit="1" customWidth="1"/>
    <col min="1546" max="1797" width="8.83203125" style="19"/>
    <col min="1798" max="1798" width="10.83203125" style="19" customWidth="1"/>
    <col min="1799" max="1799" width="12.5" style="19" bestFit="1" customWidth="1"/>
    <col min="1800" max="1800" width="11" style="19" customWidth="1"/>
    <col min="1801" max="1801" width="13.5" style="19" bestFit="1" customWidth="1"/>
    <col min="1802" max="2053" width="8.83203125" style="19"/>
    <col min="2054" max="2054" width="10.83203125" style="19" customWidth="1"/>
    <col min="2055" max="2055" width="12.5" style="19" bestFit="1" customWidth="1"/>
    <col min="2056" max="2056" width="11" style="19" customWidth="1"/>
    <col min="2057" max="2057" width="13.5" style="19" bestFit="1" customWidth="1"/>
    <col min="2058" max="2309" width="8.83203125" style="19"/>
    <col min="2310" max="2310" width="10.83203125" style="19" customWidth="1"/>
    <col min="2311" max="2311" width="12.5" style="19" bestFit="1" customWidth="1"/>
    <col min="2312" max="2312" width="11" style="19" customWidth="1"/>
    <col min="2313" max="2313" width="13.5" style="19" bestFit="1" customWidth="1"/>
    <col min="2314" max="2565" width="8.83203125" style="19"/>
    <col min="2566" max="2566" width="10.83203125" style="19" customWidth="1"/>
    <col min="2567" max="2567" width="12.5" style="19" bestFit="1" customWidth="1"/>
    <col min="2568" max="2568" width="11" style="19" customWidth="1"/>
    <col min="2569" max="2569" width="13.5" style="19" bestFit="1" customWidth="1"/>
    <col min="2570" max="2821" width="8.83203125" style="19"/>
    <col min="2822" max="2822" width="10.83203125" style="19" customWidth="1"/>
    <col min="2823" max="2823" width="12.5" style="19" bestFit="1" customWidth="1"/>
    <col min="2824" max="2824" width="11" style="19" customWidth="1"/>
    <col min="2825" max="2825" width="13.5" style="19" bestFit="1" customWidth="1"/>
    <col min="2826" max="3077" width="8.83203125" style="19"/>
    <col min="3078" max="3078" width="10.83203125" style="19" customWidth="1"/>
    <col min="3079" max="3079" width="12.5" style="19" bestFit="1" customWidth="1"/>
    <col min="3080" max="3080" width="11" style="19" customWidth="1"/>
    <col min="3081" max="3081" width="13.5" style="19" bestFit="1" customWidth="1"/>
    <col min="3082" max="3333" width="8.83203125" style="19"/>
    <col min="3334" max="3334" width="10.83203125" style="19" customWidth="1"/>
    <col min="3335" max="3335" width="12.5" style="19" bestFit="1" customWidth="1"/>
    <col min="3336" max="3336" width="11" style="19" customWidth="1"/>
    <col min="3337" max="3337" width="13.5" style="19" bestFit="1" customWidth="1"/>
    <col min="3338" max="3589" width="8.83203125" style="19"/>
    <col min="3590" max="3590" width="10.83203125" style="19" customWidth="1"/>
    <col min="3591" max="3591" width="12.5" style="19" bestFit="1" customWidth="1"/>
    <col min="3592" max="3592" width="11" style="19" customWidth="1"/>
    <col min="3593" max="3593" width="13.5" style="19" bestFit="1" customWidth="1"/>
    <col min="3594" max="3845" width="8.83203125" style="19"/>
    <col min="3846" max="3846" width="10.83203125" style="19" customWidth="1"/>
    <col min="3847" max="3847" width="12.5" style="19" bestFit="1" customWidth="1"/>
    <col min="3848" max="3848" width="11" style="19" customWidth="1"/>
    <col min="3849" max="3849" width="13.5" style="19" bestFit="1" customWidth="1"/>
    <col min="3850" max="4101" width="8.83203125" style="19"/>
    <col min="4102" max="4102" width="10.83203125" style="19" customWidth="1"/>
    <col min="4103" max="4103" width="12.5" style="19" bestFit="1" customWidth="1"/>
    <col min="4104" max="4104" width="11" style="19" customWidth="1"/>
    <col min="4105" max="4105" width="13.5" style="19" bestFit="1" customWidth="1"/>
    <col min="4106" max="4357" width="8.83203125" style="19"/>
    <col min="4358" max="4358" width="10.83203125" style="19" customWidth="1"/>
    <col min="4359" max="4359" width="12.5" style="19" bestFit="1" customWidth="1"/>
    <col min="4360" max="4360" width="11" style="19" customWidth="1"/>
    <col min="4361" max="4361" width="13.5" style="19" bestFit="1" customWidth="1"/>
    <col min="4362" max="4613" width="8.83203125" style="19"/>
    <col min="4614" max="4614" width="10.83203125" style="19" customWidth="1"/>
    <col min="4615" max="4615" width="12.5" style="19" bestFit="1" customWidth="1"/>
    <col min="4616" max="4616" width="11" style="19" customWidth="1"/>
    <col min="4617" max="4617" width="13.5" style="19" bestFit="1" customWidth="1"/>
    <col min="4618" max="4869" width="8.83203125" style="19"/>
    <col min="4870" max="4870" width="10.83203125" style="19" customWidth="1"/>
    <col min="4871" max="4871" width="12.5" style="19" bestFit="1" customWidth="1"/>
    <col min="4872" max="4872" width="11" style="19" customWidth="1"/>
    <col min="4873" max="4873" width="13.5" style="19" bestFit="1" customWidth="1"/>
    <col min="4874" max="5125" width="8.83203125" style="19"/>
    <col min="5126" max="5126" width="10.83203125" style="19" customWidth="1"/>
    <col min="5127" max="5127" width="12.5" style="19" bestFit="1" customWidth="1"/>
    <col min="5128" max="5128" width="11" style="19" customWidth="1"/>
    <col min="5129" max="5129" width="13.5" style="19" bestFit="1" customWidth="1"/>
    <col min="5130" max="5381" width="8.83203125" style="19"/>
    <col min="5382" max="5382" width="10.83203125" style="19" customWidth="1"/>
    <col min="5383" max="5383" width="12.5" style="19" bestFit="1" customWidth="1"/>
    <col min="5384" max="5384" width="11" style="19" customWidth="1"/>
    <col min="5385" max="5385" width="13.5" style="19" bestFit="1" customWidth="1"/>
    <col min="5386" max="5637" width="8.83203125" style="19"/>
    <col min="5638" max="5638" width="10.83203125" style="19" customWidth="1"/>
    <col min="5639" max="5639" width="12.5" style="19" bestFit="1" customWidth="1"/>
    <col min="5640" max="5640" width="11" style="19" customWidth="1"/>
    <col min="5641" max="5641" width="13.5" style="19" bestFit="1" customWidth="1"/>
    <col min="5642" max="5893" width="8.83203125" style="19"/>
    <col min="5894" max="5894" width="10.83203125" style="19" customWidth="1"/>
    <col min="5895" max="5895" width="12.5" style="19" bestFit="1" customWidth="1"/>
    <col min="5896" max="5896" width="11" style="19" customWidth="1"/>
    <col min="5897" max="5897" width="13.5" style="19" bestFit="1" customWidth="1"/>
    <col min="5898" max="6149" width="8.83203125" style="19"/>
    <col min="6150" max="6150" width="10.83203125" style="19" customWidth="1"/>
    <col min="6151" max="6151" width="12.5" style="19" bestFit="1" customWidth="1"/>
    <col min="6152" max="6152" width="11" style="19" customWidth="1"/>
    <col min="6153" max="6153" width="13.5" style="19" bestFit="1" customWidth="1"/>
    <col min="6154" max="6405" width="8.83203125" style="19"/>
    <col min="6406" max="6406" width="10.83203125" style="19" customWidth="1"/>
    <col min="6407" max="6407" width="12.5" style="19" bestFit="1" customWidth="1"/>
    <col min="6408" max="6408" width="11" style="19" customWidth="1"/>
    <col min="6409" max="6409" width="13.5" style="19" bestFit="1" customWidth="1"/>
    <col min="6410" max="6661" width="8.83203125" style="19"/>
    <col min="6662" max="6662" width="10.83203125" style="19" customWidth="1"/>
    <col min="6663" max="6663" width="12.5" style="19" bestFit="1" customWidth="1"/>
    <col min="6664" max="6664" width="11" style="19" customWidth="1"/>
    <col min="6665" max="6665" width="13.5" style="19" bestFit="1" customWidth="1"/>
    <col min="6666" max="6917" width="8.83203125" style="19"/>
    <col min="6918" max="6918" width="10.83203125" style="19" customWidth="1"/>
    <col min="6919" max="6919" width="12.5" style="19" bestFit="1" customWidth="1"/>
    <col min="6920" max="6920" width="11" style="19" customWidth="1"/>
    <col min="6921" max="6921" width="13.5" style="19" bestFit="1" customWidth="1"/>
    <col min="6922" max="7173" width="8.83203125" style="19"/>
    <col min="7174" max="7174" width="10.83203125" style="19" customWidth="1"/>
    <col min="7175" max="7175" width="12.5" style="19" bestFit="1" customWidth="1"/>
    <col min="7176" max="7176" width="11" style="19" customWidth="1"/>
    <col min="7177" max="7177" width="13.5" style="19" bestFit="1" customWidth="1"/>
    <col min="7178" max="7429" width="8.83203125" style="19"/>
    <col min="7430" max="7430" width="10.83203125" style="19" customWidth="1"/>
    <col min="7431" max="7431" width="12.5" style="19" bestFit="1" customWidth="1"/>
    <col min="7432" max="7432" width="11" style="19" customWidth="1"/>
    <col min="7433" max="7433" width="13.5" style="19" bestFit="1" customWidth="1"/>
    <col min="7434" max="7685" width="8.83203125" style="19"/>
    <col min="7686" max="7686" width="10.83203125" style="19" customWidth="1"/>
    <col min="7687" max="7687" width="12.5" style="19" bestFit="1" customWidth="1"/>
    <col min="7688" max="7688" width="11" style="19" customWidth="1"/>
    <col min="7689" max="7689" width="13.5" style="19" bestFit="1" customWidth="1"/>
    <col min="7690" max="7941" width="8.83203125" style="19"/>
    <col min="7942" max="7942" width="10.83203125" style="19" customWidth="1"/>
    <col min="7943" max="7943" width="12.5" style="19" bestFit="1" customWidth="1"/>
    <col min="7944" max="7944" width="11" style="19" customWidth="1"/>
    <col min="7945" max="7945" width="13.5" style="19" bestFit="1" customWidth="1"/>
    <col min="7946" max="8197" width="8.83203125" style="19"/>
    <col min="8198" max="8198" width="10.83203125" style="19" customWidth="1"/>
    <col min="8199" max="8199" width="12.5" style="19" bestFit="1" customWidth="1"/>
    <col min="8200" max="8200" width="11" style="19" customWidth="1"/>
    <col min="8201" max="8201" width="13.5" style="19" bestFit="1" customWidth="1"/>
    <col min="8202" max="8453" width="8.83203125" style="19"/>
    <col min="8454" max="8454" width="10.83203125" style="19" customWidth="1"/>
    <col min="8455" max="8455" width="12.5" style="19" bestFit="1" customWidth="1"/>
    <col min="8456" max="8456" width="11" style="19" customWidth="1"/>
    <col min="8457" max="8457" width="13.5" style="19" bestFit="1" customWidth="1"/>
    <col min="8458" max="8709" width="8.83203125" style="19"/>
    <col min="8710" max="8710" width="10.83203125" style="19" customWidth="1"/>
    <col min="8711" max="8711" width="12.5" style="19" bestFit="1" customWidth="1"/>
    <col min="8712" max="8712" width="11" style="19" customWidth="1"/>
    <col min="8713" max="8713" width="13.5" style="19" bestFit="1" customWidth="1"/>
    <col min="8714" max="8965" width="8.83203125" style="19"/>
    <col min="8966" max="8966" width="10.83203125" style="19" customWidth="1"/>
    <col min="8967" max="8967" width="12.5" style="19" bestFit="1" customWidth="1"/>
    <col min="8968" max="8968" width="11" style="19" customWidth="1"/>
    <col min="8969" max="8969" width="13.5" style="19" bestFit="1" customWidth="1"/>
    <col min="8970" max="9221" width="8.83203125" style="19"/>
    <col min="9222" max="9222" width="10.83203125" style="19" customWidth="1"/>
    <col min="9223" max="9223" width="12.5" style="19" bestFit="1" customWidth="1"/>
    <col min="9224" max="9224" width="11" style="19" customWidth="1"/>
    <col min="9225" max="9225" width="13.5" style="19" bestFit="1" customWidth="1"/>
    <col min="9226" max="9477" width="8.83203125" style="19"/>
    <col min="9478" max="9478" width="10.83203125" style="19" customWidth="1"/>
    <col min="9479" max="9479" width="12.5" style="19" bestFit="1" customWidth="1"/>
    <col min="9480" max="9480" width="11" style="19" customWidth="1"/>
    <col min="9481" max="9481" width="13.5" style="19" bestFit="1" customWidth="1"/>
    <col min="9482" max="9733" width="8.83203125" style="19"/>
    <col min="9734" max="9734" width="10.83203125" style="19" customWidth="1"/>
    <col min="9735" max="9735" width="12.5" style="19" bestFit="1" customWidth="1"/>
    <col min="9736" max="9736" width="11" style="19" customWidth="1"/>
    <col min="9737" max="9737" width="13.5" style="19" bestFit="1" customWidth="1"/>
    <col min="9738" max="9989" width="8.83203125" style="19"/>
    <col min="9990" max="9990" width="10.83203125" style="19" customWidth="1"/>
    <col min="9991" max="9991" width="12.5" style="19" bestFit="1" customWidth="1"/>
    <col min="9992" max="9992" width="11" style="19" customWidth="1"/>
    <col min="9993" max="9993" width="13.5" style="19" bestFit="1" customWidth="1"/>
    <col min="9994" max="10245" width="8.83203125" style="19"/>
    <col min="10246" max="10246" width="10.83203125" style="19" customWidth="1"/>
    <col min="10247" max="10247" width="12.5" style="19" bestFit="1" customWidth="1"/>
    <col min="10248" max="10248" width="11" style="19" customWidth="1"/>
    <col min="10249" max="10249" width="13.5" style="19" bestFit="1" customWidth="1"/>
    <col min="10250" max="10501" width="8.83203125" style="19"/>
    <col min="10502" max="10502" width="10.83203125" style="19" customWidth="1"/>
    <col min="10503" max="10503" width="12.5" style="19" bestFit="1" customWidth="1"/>
    <col min="10504" max="10504" width="11" style="19" customWidth="1"/>
    <col min="10505" max="10505" width="13.5" style="19" bestFit="1" customWidth="1"/>
    <col min="10506" max="10757" width="8.83203125" style="19"/>
    <col min="10758" max="10758" width="10.83203125" style="19" customWidth="1"/>
    <col min="10759" max="10759" width="12.5" style="19" bestFit="1" customWidth="1"/>
    <col min="10760" max="10760" width="11" style="19" customWidth="1"/>
    <col min="10761" max="10761" width="13.5" style="19" bestFit="1" customWidth="1"/>
    <col min="10762" max="11013" width="8.83203125" style="19"/>
    <col min="11014" max="11014" width="10.83203125" style="19" customWidth="1"/>
    <col min="11015" max="11015" width="12.5" style="19" bestFit="1" customWidth="1"/>
    <col min="11016" max="11016" width="11" style="19" customWidth="1"/>
    <col min="11017" max="11017" width="13.5" style="19" bestFit="1" customWidth="1"/>
    <col min="11018" max="11269" width="8.83203125" style="19"/>
    <col min="11270" max="11270" width="10.83203125" style="19" customWidth="1"/>
    <col min="11271" max="11271" width="12.5" style="19" bestFit="1" customWidth="1"/>
    <col min="11272" max="11272" width="11" style="19" customWidth="1"/>
    <col min="11273" max="11273" width="13.5" style="19" bestFit="1" customWidth="1"/>
    <col min="11274" max="11525" width="8.83203125" style="19"/>
    <col min="11526" max="11526" width="10.83203125" style="19" customWidth="1"/>
    <col min="11527" max="11527" width="12.5" style="19" bestFit="1" customWidth="1"/>
    <col min="11528" max="11528" width="11" style="19" customWidth="1"/>
    <col min="11529" max="11529" width="13.5" style="19" bestFit="1" customWidth="1"/>
    <col min="11530" max="11781" width="8.83203125" style="19"/>
    <col min="11782" max="11782" width="10.83203125" style="19" customWidth="1"/>
    <col min="11783" max="11783" width="12.5" style="19" bestFit="1" customWidth="1"/>
    <col min="11784" max="11784" width="11" style="19" customWidth="1"/>
    <col min="11785" max="11785" width="13.5" style="19" bestFit="1" customWidth="1"/>
    <col min="11786" max="12037" width="8.83203125" style="19"/>
    <col min="12038" max="12038" width="10.83203125" style="19" customWidth="1"/>
    <col min="12039" max="12039" width="12.5" style="19" bestFit="1" customWidth="1"/>
    <col min="12040" max="12040" width="11" style="19" customWidth="1"/>
    <col min="12041" max="12041" width="13.5" style="19" bestFit="1" customWidth="1"/>
    <col min="12042" max="12293" width="8.83203125" style="19"/>
    <col min="12294" max="12294" width="10.83203125" style="19" customWidth="1"/>
    <col min="12295" max="12295" width="12.5" style="19" bestFit="1" customWidth="1"/>
    <col min="12296" max="12296" width="11" style="19" customWidth="1"/>
    <col min="12297" max="12297" width="13.5" style="19" bestFit="1" customWidth="1"/>
    <col min="12298" max="12549" width="8.83203125" style="19"/>
    <col min="12550" max="12550" width="10.83203125" style="19" customWidth="1"/>
    <col min="12551" max="12551" width="12.5" style="19" bestFit="1" customWidth="1"/>
    <col min="12552" max="12552" width="11" style="19" customWidth="1"/>
    <col min="12553" max="12553" width="13.5" style="19" bestFit="1" customWidth="1"/>
    <col min="12554" max="12805" width="8.83203125" style="19"/>
    <col min="12806" max="12806" width="10.83203125" style="19" customWidth="1"/>
    <col min="12807" max="12807" width="12.5" style="19" bestFit="1" customWidth="1"/>
    <col min="12808" max="12808" width="11" style="19" customWidth="1"/>
    <col min="12809" max="12809" width="13.5" style="19" bestFit="1" customWidth="1"/>
    <col min="12810" max="13061" width="8.83203125" style="19"/>
    <col min="13062" max="13062" width="10.83203125" style="19" customWidth="1"/>
    <col min="13063" max="13063" width="12.5" style="19" bestFit="1" customWidth="1"/>
    <col min="13064" max="13064" width="11" style="19" customWidth="1"/>
    <col min="13065" max="13065" width="13.5" style="19" bestFit="1" customWidth="1"/>
    <col min="13066" max="13317" width="8.83203125" style="19"/>
    <col min="13318" max="13318" width="10.83203125" style="19" customWidth="1"/>
    <col min="13319" max="13319" width="12.5" style="19" bestFit="1" customWidth="1"/>
    <col min="13320" max="13320" width="11" style="19" customWidth="1"/>
    <col min="13321" max="13321" width="13.5" style="19" bestFit="1" customWidth="1"/>
    <col min="13322" max="13573" width="8.83203125" style="19"/>
    <col min="13574" max="13574" width="10.83203125" style="19" customWidth="1"/>
    <col min="13575" max="13575" width="12.5" style="19" bestFit="1" customWidth="1"/>
    <col min="13576" max="13576" width="11" style="19" customWidth="1"/>
    <col min="13577" max="13577" width="13.5" style="19" bestFit="1" customWidth="1"/>
    <col min="13578" max="13829" width="8.83203125" style="19"/>
    <col min="13830" max="13830" width="10.83203125" style="19" customWidth="1"/>
    <col min="13831" max="13831" width="12.5" style="19" bestFit="1" customWidth="1"/>
    <col min="13832" max="13832" width="11" style="19" customWidth="1"/>
    <col min="13833" max="13833" width="13.5" style="19" bestFit="1" customWidth="1"/>
    <col min="13834" max="14085" width="8.83203125" style="19"/>
    <col min="14086" max="14086" width="10.83203125" style="19" customWidth="1"/>
    <col min="14087" max="14087" width="12.5" style="19" bestFit="1" customWidth="1"/>
    <col min="14088" max="14088" width="11" style="19" customWidth="1"/>
    <col min="14089" max="14089" width="13.5" style="19" bestFit="1" customWidth="1"/>
    <col min="14090" max="14341" width="8.83203125" style="19"/>
    <col min="14342" max="14342" width="10.83203125" style="19" customWidth="1"/>
    <col min="14343" max="14343" width="12.5" style="19" bestFit="1" customWidth="1"/>
    <col min="14344" max="14344" width="11" style="19" customWidth="1"/>
    <col min="14345" max="14345" width="13.5" style="19" bestFit="1" customWidth="1"/>
    <col min="14346" max="14597" width="8.83203125" style="19"/>
    <col min="14598" max="14598" width="10.83203125" style="19" customWidth="1"/>
    <col min="14599" max="14599" width="12.5" style="19" bestFit="1" customWidth="1"/>
    <col min="14600" max="14600" width="11" style="19" customWidth="1"/>
    <col min="14601" max="14601" width="13.5" style="19" bestFit="1" customWidth="1"/>
    <col min="14602" max="14853" width="8.83203125" style="19"/>
    <col min="14854" max="14854" width="10.83203125" style="19" customWidth="1"/>
    <col min="14855" max="14855" width="12.5" style="19" bestFit="1" customWidth="1"/>
    <col min="14856" max="14856" width="11" style="19" customWidth="1"/>
    <col min="14857" max="14857" width="13.5" style="19" bestFit="1" customWidth="1"/>
    <col min="14858" max="15109" width="8.83203125" style="19"/>
    <col min="15110" max="15110" width="10.83203125" style="19" customWidth="1"/>
    <col min="15111" max="15111" width="12.5" style="19" bestFit="1" customWidth="1"/>
    <col min="15112" max="15112" width="11" style="19" customWidth="1"/>
    <col min="15113" max="15113" width="13.5" style="19" bestFit="1" customWidth="1"/>
    <col min="15114" max="15365" width="8.83203125" style="19"/>
    <col min="15366" max="15366" width="10.83203125" style="19" customWidth="1"/>
    <col min="15367" max="15367" width="12.5" style="19" bestFit="1" customWidth="1"/>
    <col min="15368" max="15368" width="11" style="19" customWidth="1"/>
    <col min="15369" max="15369" width="13.5" style="19" bestFit="1" customWidth="1"/>
    <col min="15370" max="15621" width="8.83203125" style="19"/>
    <col min="15622" max="15622" width="10.83203125" style="19" customWidth="1"/>
    <col min="15623" max="15623" width="12.5" style="19" bestFit="1" customWidth="1"/>
    <col min="15624" max="15624" width="11" style="19" customWidth="1"/>
    <col min="15625" max="15625" width="13.5" style="19" bestFit="1" customWidth="1"/>
    <col min="15626" max="15877" width="8.83203125" style="19"/>
    <col min="15878" max="15878" width="10.83203125" style="19" customWidth="1"/>
    <col min="15879" max="15879" width="12.5" style="19" bestFit="1" customWidth="1"/>
    <col min="15880" max="15880" width="11" style="19" customWidth="1"/>
    <col min="15881" max="15881" width="13.5" style="19" bestFit="1" customWidth="1"/>
    <col min="15882" max="16133" width="8.83203125" style="19"/>
    <col min="16134" max="16134" width="10.83203125" style="19" customWidth="1"/>
    <col min="16135" max="16135" width="12.5" style="19" bestFit="1" customWidth="1"/>
    <col min="16136" max="16136" width="11" style="19" customWidth="1"/>
    <col min="16137" max="16137" width="13.5" style="19" bestFit="1" customWidth="1"/>
    <col min="16138" max="16384" width="8.83203125" style="19"/>
  </cols>
  <sheetData>
    <row r="1" spans="2:9" ht="75.75" customHeight="1">
      <c r="B1" s="58" t="s">
        <v>235</v>
      </c>
      <c r="C1" s="18"/>
      <c r="D1" s="18"/>
      <c r="E1" s="18"/>
      <c r="F1" s="18"/>
      <c r="G1" s="18"/>
      <c r="H1" s="18"/>
      <c r="I1" s="18"/>
    </row>
    <row r="2" spans="2:9">
      <c r="B2" s="17"/>
      <c r="C2" s="18"/>
      <c r="D2" s="18"/>
      <c r="E2" s="18"/>
      <c r="F2" s="18"/>
      <c r="G2" s="18"/>
      <c r="H2" s="18"/>
      <c r="I2" s="18"/>
    </row>
    <row r="3" spans="2:9">
      <c r="B3" s="17" t="s">
        <v>131</v>
      </c>
      <c r="C3" s="18"/>
      <c r="D3" s="18"/>
      <c r="E3" s="18"/>
      <c r="F3" s="20">
        <f>'3. Backgrounder_InputForm'!D13</f>
        <v>0</v>
      </c>
      <c r="G3" s="18"/>
      <c r="H3" s="18"/>
      <c r="I3" s="18"/>
    </row>
    <row r="4" spans="2:9">
      <c r="B4" s="17" t="s">
        <v>121</v>
      </c>
      <c r="C4" s="18"/>
      <c r="D4" s="18"/>
      <c r="E4" s="18"/>
      <c r="F4" s="20">
        <f>'3. Backgrounder_InputForm'!F13</f>
        <v>0</v>
      </c>
      <c r="G4" s="18"/>
      <c r="H4" s="18"/>
      <c r="I4" s="18"/>
    </row>
    <row r="5" spans="2:9">
      <c r="B5" s="17" t="s">
        <v>71</v>
      </c>
      <c r="C5" s="18"/>
      <c r="D5" s="18"/>
      <c r="E5" s="18"/>
      <c r="F5" s="20">
        <f>'3. Backgrounder_InputForm'!H13</f>
        <v>0</v>
      </c>
      <c r="G5" s="18"/>
      <c r="H5" s="18"/>
      <c r="I5" s="18"/>
    </row>
    <row r="6" spans="2:9">
      <c r="B6" s="17" t="s">
        <v>228</v>
      </c>
      <c r="C6" s="18"/>
      <c r="D6" s="18"/>
      <c r="E6" s="18"/>
      <c r="F6" s="20">
        <f>Data!E46</f>
        <v>0</v>
      </c>
      <c r="G6" s="18"/>
      <c r="H6" s="18"/>
      <c r="I6" s="18"/>
    </row>
    <row r="7" spans="2:9">
      <c r="B7" s="17" t="s">
        <v>229</v>
      </c>
      <c r="C7" s="18"/>
      <c r="D7" s="18"/>
      <c r="E7" s="18"/>
      <c r="F7" s="21" t="e">
        <f>F6/F8</f>
        <v>#DIV/0!</v>
      </c>
      <c r="G7" s="18"/>
      <c r="H7" s="18"/>
      <c r="I7" s="18"/>
    </row>
    <row r="8" spans="2:9">
      <c r="B8" s="17" t="s">
        <v>230</v>
      </c>
      <c r="C8" s="18"/>
      <c r="D8" s="18"/>
      <c r="E8" s="18"/>
      <c r="F8" s="20">
        <f>Data!E41</f>
        <v>0</v>
      </c>
      <c r="G8" s="18"/>
      <c r="H8" s="18"/>
      <c r="I8" s="18"/>
    </row>
    <row r="9" spans="2:9">
      <c r="B9" s="17"/>
      <c r="C9" s="18"/>
      <c r="D9" s="18"/>
      <c r="E9" s="18"/>
      <c r="F9" s="20"/>
      <c r="G9" s="18"/>
      <c r="H9" s="18"/>
      <c r="I9" s="18"/>
    </row>
    <row r="10" spans="2:9">
      <c r="B10" s="17" t="s">
        <v>36</v>
      </c>
      <c r="C10" s="22"/>
      <c r="D10" s="22"/>
      <c r="E10" s="18"/>
      <c r="F10" s="18"/>
      <c r="G10" s="22" t="s">
        <v>11</v>
      </c>
      <c r="H10" s="22" t="s">
        <v>72</v>
      </c>
      <c r="I10" s="22" t="s">
        <v>231</v>
      </c>
    </row>
    <row r="11" spans="2:9">
      <c r="B11" s="18" t="s">
        <v>233</v>
      </c>
      <c r="C11" s="22"/>
      <c r="D11" s="108">
        <f>'3. Backgrounder_InputForm'!J13</f>
        <v>0</v>
      </c>
      <c r="E11" s="18" t="s">
        <v>61</v>
      </c>
      <c r="F11" s="18"/>
      <c r="G11" s="23">
        <f>'3. Backgrounder_InputForm'!J34+'3. Backgrounder_InputForm'!J36+'3. Backgrounder_InputForm'!J38</f>
        <v>0</v>
      </c>
      <c r="H11" s="22"/>
      <c r="I11" s="22"/>
    </row>
    <row r="12" spans="2:9">
      <c r="B12" s="18" t="s">
        <v>48</v>
      </c>
      <c r="C12" s="22"/>
      <c r="D12" s="108">
        <f>'3. Backgrounder_InputForm'!L13+'3. Backgrounder_InputForm'!N13</f>
        <v>0</v>
      </c>
      <c r="E12" s="18" t="s">
        <v>61</v>
      </c>
      <c r="F12" s="18"/>
      <c r="G12" s="23">
        <f>'3. Backgrounder_InputForm'!L13*'3. Backgrounder_InputForm'!L15*'3. Backgrounder_InputForm'!L17+'3. Backgrounder_InputForm'!N13*'3. Backgrounder_InputForm'!N15*'3. Backgrounder_InputForm'!N17</f>
        <v>0</v>
      </c>
      <c r="H12" s="22"/>
      <c r="I12" s="22"/>
    </row>
    <row r="13" spans="2:9" s="30" customFormat="1">
      <c r="B13" s="17" t="s">
        <v>125</v>
      </c>
      <c r="C13" s="22"/>
      <c r="D13" s="22"/>
      <c r="E13" s="17"/>
      <c r="F13" s="22" t="s">
        <v>34</v>
      </c>
      <c r="G13" s="28">
        <f>SUM(G11:G12)</f>
        <v>0</v>
      </c>
      <c r="H13" s="29" t="e">
        <f>G13/F3</f>
        <v>#DIV/0!</v>
      </c>
      <c r="I13" s="29"/>
    </row>
    <row r="14" spans="2:9">
      <c r="B14" s="18"/>
      <c r="C14" s="24"/>
      <c r="D14" s="24"/>
      <c r="E14" s="18"/>
      <c r="F14" s="22"/>
      <c r="G14" s="25"/>
      <c r="H14" s="24"/>
      <c r="I14" s="24"/>
    </row>
    <row r="15" spans="2:9">
      <c r="B15" s="17" t="s">
        <v>33</v>
      </c>
      <c r="C15" s="17"/>
      <c r="D15" s="18"/>
      <c r="E15" s="18"/>
      <c r="F15" s="22"/>
      <c r="G15" s="28" t="s">
        <v>11</v>
      </c>
      <c r="H15" s="22" t="s">
        <v>72</v>
      </c>
      <c r="I15" s="22" t="s">
        <v>231</v>
      </c>
    </row>
    <row r="16" spans="2:9">
      <c r="B16" s="18" t="s">
        <v>232</v>
      </c>
      <c r="C16" s="17"/>
      <c r="D16" s="18"/>
      <c r="E16" s="18"/>
      <c r="F16" s="22"/>
      <c r="G16" s="25">
        <f>'3. Backgrounder_InputForm'!D13*'3. Backgrounder_InputForm'!D15*'3. Backgrounder_InputForm'!D17</f>
        <v>0</v>
      </c>
      <c r="H16" s="26" t="e">
        <f>G16/$F$3</f>
        <v>#DIV/0!</v>
      </c>
      <c r="I16" s="26" t="e">
        <f>G16/$F$6</f>
        <v>#DIV/0!</v>
      </c>
    </row>
    <row r="17" spans="2:9">
      <c r="B17" s="18" t="s">
        <v>127</v>
      </c>
      <c r="C17" s="17"/>
      <c r="D17" s="18"/>
      <c r="E17" s="18"/>
      <c r="F17" s="22"/>
      <c r="G17" s="25">
        <f>'3. Backgrounder_InputForm'!J30</f>
        <v>0</v>
      </c>
      <c r="H17" s="26" t="e">
        <f>G17/$F$3</f>
        <v>#DIV/0!</v>
      </c>
      <c r="I17" s="26" t="e">
        <f>G17/$F$6</f>
        <v>#DIV/0!</v>
      </c>
    </row>
    <row r="18" spans="2:9">
      <c r="B18" s="18" t="s">
        <v>128</v>
      </c>
      <c r="C18" s="18"/>
      <c r="D18" s="18"/>
      <c r="E18" s="18"/>
      <c r="F18" s="22"/>
      <c r="G18" s="25">
        <f>SUM('3. Backgrounder_InputForm'!F46:F50)+SUM('3. Backgrounder_InputForm'!P46:P50)</f>
        <v>0</v>
      </c>
      <c r="H18" s="26" t="e">
        <f>G18/$F$3</f>
        <v>#DIV/0!</v>
      </c>
      <c r="I18" s="26" t="e">
        <f>G18/$F$6</f>
        <v>#DIV/0!</v>
      </c>
    </row>
    <row r="19" spans="2:9">
      <c r="B19" s="18" t="s">
        <v>118</v>
      </c>
      <c r="C19" s="18"/>
      <c r="D19" s="18"/>
      <c r="E19" s="18"/>
      <c r="F19" s="22"/>
      <c r="G19" s="25" t="e">
        <f>'10. Expenses'!G13</f>
        <v>#DIV/0!</v>
      </c>
      <c r="H19" s="26" t="e">
        <f>G19/$F$3</f>
        <v>#DIV/0!</v>
      </c>
      <c r="I19" s="26" t="e">
        <f>G19/$F$6</f>
        <v>#DIV/0!</v>
      </c>
    </row>
    <row r="20" spans="2:9">
      <c r="B20" s="18" t="s">
        <v>31</v>
      </c>
      <c r="C20" s="18"/>
      <c r="D20" s="18"/>
      <c r="E20" s="18"/>
      <c r="F20" s="22"/>
      <c r="G20" s="25" t="e">
        <f>'10. Expenses'!G21</f>
        <v>#DIV/0!</v>
      </c>
      <c r="H20" s="26" t="e">
        <f>G20/$F$3</f>
        <v>#DIV/0!</v>
      </c>
      <c r="I20" s="26" t="e">
        <f>G20/F6</f>
        <v>#DIV/0!</v>
      </c>
    </row>
    <row r="21" spans="2:9">
      <c r="B21" s="17" t="s">
        <v>29</v>
      </c>
      <c r="C21" s="18"/>
      <c r="D21" s="18"/>
      <c r="E21" s="18"/>
      <c r="F21" s="22" t="s">
        <v>28</v>
      </c>
      <c r="G21" s="28" t="e">
        <f>SUM(G16:G20)</f>
        <v>#DIV/0!</v>
      </c>
      <c r="H21" s="29" t="e">
        <f>G21/F3</f>
        <v>#DIV/0!</v>
      </c>
      <c r="I21" s="29" t="e">
        <f>G21/F6</f>
        <v>#DIV/0!</v>
      </c>
    </row>
    <row r="22" spans="2:9">
      <c r="B22" s="17"/>
      <c r="C22" s="18"/>
      <c r="D22" s="18"/>
      <c r="E22" s="18"/>
      <c r="F22" s="22"/>
      <c r="G22" s="25"/>
      <c r="H22" s="31"/>
      <c r="I22" s="31"/>
    </row>
    <row r="23" spans="2:9">
      <c r="B23" s="17" t="s">
        <v>27</v>
      </c>
      <c r="C23" s="18"/>
      <c r="D23" s="18"/>
      <c r="E23" s="18"/>
      <c r="F23" s="22"/>
      <c r="G23" s="28" t="s">
        <v>11</v>
      </c>
      <c r="H23" s="22" t="s">
        <v>72</v>
      </c>
      <c r="I23" s="22" t="s">
        <v>231</v>
      </c>
    </row>
    <row r="24" spans="2:9">
      <c r="B24" s="18" t="s">
        <v>145</v>
      </c>
      <c r="C24" s="18"/>
      <c r="D24" s="18"/>
      <c r="E24" s="18"/>
      <c r="F24" s="22"/>
      <c r="G24" s="25">
        <f>'10. Expenses'!G42</f>
        <v>0</v>
      </c>
      <c r="H24" s="26" t="e">
        <f t="shared" ref="H24:H34" si="0">G24/$F$3</f>
        <v>#DIV/0!</v>
      </c>
      <c r="I24" s="32" t="e">
        <f t="shared" ref="I24:I34" si="1">G24/$F$6</f>
        <v>#DIV/0!</v>
      </c>
    </row>
    <row r="25" spans="2:9">
      <c r="B25" s="18" t="s">
        <v>26</v>
      </c>
      <c r="C25" s="18"/>
      <c r="D25" s="18"/>
      <c r="E25" s="18"/>
      <c r="F25" s="22"/>
      <c r="G25" s="25">
        <f>'10. Expenses'!G55</f>
        <v>0</v>
      </c>
      <c r="H25" s="26" t="e">
        <f t="shared" si="0"/>
        <v>#DIV/0!</v>
      </c>
      <c r="I25" s="32" t="e">
        <f t="shared" si="1"/>
        <v>#DIV/0!</v>
      </c>
    </row>
    <row r="26" spans="2:9">
      <c r="B26" s="18" t="s">
        <v>25</v>
      </c>
      <c r="C26" s="18"/>
      <c r="D26" s="18"/>
      <c r="E26" s="18"/>
      <c r="F26" s="22"/>
      <c r="G26" s="25">
        <f>'10. Expenses'!G62</f>
        <v>0</v>
      </c>
      <c r="H26" s="26" t="e">
        <f t="shared" si="0"/>
        <v>#DIV/0!</v>
      </c>
      <c r="I26" s="32" t="e">
        <f t="shared" si="1"/>
        <v>#DIV/0!</v>
      </c>
    </row>
    <row r="27" spans="2:9">
      <c r="B27" s="18" t="s">
        <v>226</v>
      </c>
      <c r="C27" s="18"/>
      <c r="D27" s="18"/>
      <c r="E27" s="18"/>
      <c r="F27" s="22"/>
      <c r="G27" s="25" t="e">
        <f>'10. Expenses'!G75</f>
        <v>#DIV/0!</v>
      </c>
      <c r="H27" s="26" t="e">
        <f t="shared" si="0"/>
        <v>#DIV/0!</v>
      </c>
      <c r="I27" s="32" t="e">
        <f t="shared" si="1"/>
        <v>#DIV/0!</v>
      </c>
    </row>
    <row r="28" spans="2:9">
      <c r="B28" s="18" t="s">
        <v>23</v>
      </c>
      <c r="C28" s="18"/>
      <c r="D28" s="18"/>
      <c r="E28" s="18"/>
      <c r="F28" s="22"/>
      <c r="G28" s="25" t="e">
        <f>'10. Expenses'!G82</f>
        <v>#DIV/0!</v>
      </c>
      <c r="H28" s="26" t="e">
        <f t="shared" si="0"/>
        <v>#DIV/0!</v>
      </c>
      <c r="I28" s="32" t="e">
        <f t="shared" si="1"/>
        <v>#DIV/0!</v>
      </c>
    </row>
    <row r="29" spans="2:9">
      <c r="B29" s="18" t="s">
        <v>22</v>
      </c>
      <c r="C29" s="18"/>
      <c r="D29" s="18"/>
      <c r="E29" s="18"/>
      <c r="F29" s="22"/>
      <c r="G29" s="25">
        <f>'10. Expenses'!G87</f>
        <v>0</v>
      </c>
      <c r="H29" s="26" t="e">
        <f t="shared" si="0"/>
        <v>#DIV/0!</v>
      </c>
      <c r="I29" s="32" t="e">
        <f t="shared" si="1"/>
        <v>#DIV/0!</v>
      </c>
    </row>
    <row r="30" spans="2:9">
      <c r="B30" s="18" t="s">
        <v>150</v>
      </c>
      <c r="C30" s="18"/>
      <c r="D30" s="18"/>
      <c r="E30" s="18"/>
      <c r="F30" s="22"/>
      <c r="G30" s="25">
        <f>'11. Unpaid Labour'!I8</f>
        <v>0</v>
      </c>
      <c r="H30" s="26" t="e">
        <f t="shared" si="0"/>
        <v>#DIV/0!</v>
      </c>
      <c r="I30" s="32" t="e">
        <f t="shared" si="1"/>
        <v>#DIV/0!</v>
      </c>
    </row>
    <row r="31" spans="2:9">
      <c r="B31" s="18" t="s">
        <v>21</v>
      </c>
      <c r="C31" s="18"/>
      <c r="D31" s="18"/>
      <c r="E31" s="18"/>
      <c r="F31" s="22"/>
      <c r="G31" s="25" t="e">
        <f>'10. Expenses'!G97</f>
        <v>#DIV/0!</v>
      </c>
      <c r="H31" s="26" t="e">
        <f t="shared" si="0"/>
        <v>#DIV/0!</v>
      </c>
      <c r="I31" s="32" t="e">
        <f t="shared" si="1"/>
        <v>#DIV/0!</v>
      </c>
    </row>
    <row r="32" spans="2:9">
      <c r="B32" s="18" t="s">
        <v>20</v>
      </c>
      <c r="C32" s="18"/>
      <c r="D32" s="18"/>
      <c r="E32" s="18"/>
      <c r="F32" s="22"/>
      <c r="G32" s="25" t="e">
        <f>'12. Assets_for Depreciation'!I26+'12. Assets_for Depreciation'!I51+'12. Assets_for Depreciation'!I86</f>
        <v>#DIV/0!</v>
      </c>
      <c r="H32" s="26" t="e">
        <f t="shared" si="0"/>
        <v>#DIV/0!</v>
      </c>
      <c r="I32" s="32" t="e">
        <f t="shared" si="1"/>
        <v>#DIV/0!</v>
      </c>
    </row>
    <row r="33" spans="2:9">
      <c r="B33" s="18" t="s">
        <v>19</v>
      </c>
      <c r="C33" s="18"/>
      <c r="D33" s="18"/>
      <c r="E33" s="18"/>
      <c r="F33" s="22"/>
      <c r="G33" s="25">
        <f>'10. Expenses'!G102</f>
        <v>0</v>
      </c>
      <c r="H33" s="26" t="e">
        <f t="shared" si="0"/>
        <v>#DIV/0!</v>
      </c>
      <c r="I33" s="32" t="e">
        <f t="shared" si="1"/>
        <v>#DIV/0!</v>
      </c>
    </row>
    <row r="34" spans="2:9">
      <c r="B34" s="17" t="s">
        <v>18</v>
      </c>
      <c r="C34" s="18"/>
      <c r="D34" s="18"/>
      <c r="E34" s="18"/>
      <c r="F34" s="22" t="s">
        <v>17</v>
      </c>
      <c r="G34" s="28" t="e">
        <f>SUM(G24:G33)</f>
        <v>#DIV/0!</v>
      </c>
      <c r="H34" s="29" t="e">
        <f t="shared" si="0"/>
        <v>#DIV/0!</v>
      </c>
      <c r="I34" s="33" t="e">
        <f t="shared" si="1"/>
        <v>#DIV/0!</v>
      </c>
    </row>
    <row r="35" spans="2:9">
      <c r="B35" s="18"/>
      <c r="C35" s="18"/>
      <c r="D35" s="18"/>
      <c r="E35" s="18"/>
      <c r="F35" s="22"/>
      <c r="G35" s="25"/>
      <c r="H35" s="31"/>
      <c r="I35" s="31"/>
    </row>
    <row r="36" spans="2:9">
      <c r="B36" s="17" t="s">
        <v>16</v>
      </c>
      <c r="C36" s="18"/>
      <c r="D36" s="18"/>
      <c r="E36" s="18"/>
      <c r="F36" s="22"/>
      <c r="G36" s="28" t="s">
        <v>11</v>
      </c>
      <c r="H36" s="22" t="s">
        <v>72</v>
      </c>
      <c r="I36" s="22" t="s">
        <v>231</v>
      </c>
    </row>
    <row r="37" spans="2:9">
      <c r="B37" s="18" t="s">
        <v>15</v>
      </c>
      <c r="C37" s="18"/>
      <c r="D37" s="18"/>
      <c r="E37" s="18"/>
      <c r="F37" s="22"/>
      <c r="G37" s="25" t="e">
        <f>'10. Expenses'!AK105</f>
        <v>#DIV/0!</v>
      </c>
      <c r="H37" s="26" t="e">
        <f>G37/$F$3</f>
        <v>#DIV/0!</v>
      </c>
      <c r="I37" s="32" t="e">
        <f>G37/$F$6</f>
        <v>#DIV/0!</v>
      </c>
    </row>
    <row r="38" spans="2:9">
      <c r="B38" s="18" t="s">
        <v>467</v>
      </c>
      <c r="C38" s="18"/>
      <c r="D38" s="18"/>
      <c r="E38" s="18"/>
      <c r="F38" s="22"/>
      <c r="G38" s="25" t="e">
        <f>'10. Expenses'!AK106+'10. Expenses'!AK107</f>
        <v>#DIV/0!</v>
      </c>
      <c r="H38" s="26" t="e">
        <f>G38/$F$3</f>
        <v>#DIV/0!</v>
      </c>
      <c r="I38" s="32" t="e">
        <f>G38/$F$6</f>
        <v>#DIV/0!</v>
      </c>
    </row>
    <row r="39" spans="2:9">
      <c r="B39" s="18" t="s">
        <v>468</v>
      </c>
      <c r="C39" s="18"/>
      <c r="D39" s="18"/>
      <c r="E39" s="18"/>
      <c r="F39" s="22"/>
      <c r="G39" s="25" t="e">
        <f>'10. Expenses'!G114</f>
        <v>#DIV/0!</v>
      </c>
      <c r="H39" s="26">
        <v>12.42</v>
      </c>
      <c r="I39" s="32" t="e">
        <f>G39/$F$6</f>
        <v>#DIV/0!</v>
      </c>
    </row>
    <row r="40" spans="2:9">
      <c r="B40" s="17" t="s">
        <v>13</v>
      </c>
      <c r="C40" s="18"/>
      <c r="D40" s="18"/>
      <c r="E40" s="18"/>
      <c r="F40" s="22" t="s">
        <v>12</v>
      </c>
      <c r="G40" s="28" t="e">
        <f>SUM(G37:G39)</f>
        <v>#DIV/0!</v>
      </c>
      <c r="H40" s="29" t="e">
        <f>G40/$F$3</f>
        <v>#DIV/0!</v>
      </c>
      <c r="I40" s="33" t="e">
        <f>G40/$F$6</f>
        <v>#DIV/0!</v>
      </c>
    </row>
    <row r="41" spans="2:9">
      <c r="B41" s="17"/>
      <c r="C41" s="18"/>
      <c r="D41" s="18"/>
      <c r="E41" s="18"/>
      <c r="F41" s="22"/>
      <c r="G41" s="28"/>
      <c r="H41" s="29"/>
      <c r="I41" s="33"/>
    </row>
    <row r="42" spans="2:9">
      <c r="B42" s="18"/>
      <c r="C42" s="18"/>
      <c r="D42" s="18"/>
      <c r="E42" s="18"/>
      <c r="F42" s="22"/>
      <c r="G42" s="28" t="s">
        <v>11</v>
      </c>
      <c r="H42" s="22" t="s">
        <v>72</v>
      </c>
      <c r="I42" s="22" t="s">
        <v>231</v>
      </c>
    </row>
    <row r="43" spans="2:9">
      <c r="B43" s="17" t="s">
        <v>8</v>
      </c>
      <c r="C43" s="17"/>
      <c r="D43" s="18"/>
      <c r="E43" s="18"/>
      <c r="F43" s="22" t="s">
        <v>7</v>
      </c>
      <c r="G43" s="25" t="e">
        <f>G40+G34+G21</f>
        <v>#DIV/0!</v>
      </c>
      <c r="H43" s="26" t="e">
        <f>G43/F3</f>
        <v>#DIV/0!</v>
      </c>
      <c r="I43" s="32" t="e">
        <f>(G43-G16-G17)/F6</f>
        <v>#DIV/0!</v>
      </c>
    </row>
    <row r="44" spans="2:9">
      <c r="B44" s="17" t="s">
        <v>6</v>
      </c>
      <c r="C44" s="17"/>
      <c r="D44" s="18"/>
      <c r="E44" s="18"/>
      <c r="F44" s="22" t="s">
        <v>5</v>
      </c>
      <c r="G44" s="20" t="e">
        <f>G43-G30</f>
        <v>#DIV/0!</v>
      </c>
      <c r="H44" s="26" t="e">
        <f>H43-H30</f>
        <v>#DIV/0!</v>
      </c>
      <c r="I44" s="26" t="e">
        <f>(G44-G16-G17)/F6</f>
        <v>#DIV/0!</v>
      </c>
    </row>
    <row r="45" spans="2:9">
      <c r="B45" s="17" t="s">
        <v>227</v>
      </c>
      <c r="C45" s="17"/>
      <c r="D45" s="31"/>
      <c r="E45" s="31"/>
      <c r="F45" s="27" t="s">
        <v>3</v>
      </c>
      <c r="G45" s="25" t="e">
        <f>G13-G43</f>
        <v>#DIV/0!</v>
      </c>
      <c r="H45" s="26" t="e">
        <f>G45/F3</f>
        <v>#DIV/0!</v>
      </c>
      <c r="I45" s="32" t="e">
        <f>G45/F6</f>
        <v>#DIV/0!</v>
      </c>
    </row>
    <row r="46" spans="2:9">
      <c r="B46" s="17" t="s">
        <v>2</v>
      </c>
      <c r="C46" s="17"/>
      <c r="D46" s="27"/>
      <c r="E46" s="27"/>
      <c r="F46" s="27" t="s">
        <v>1</v>
      </c>
      <c r="G46" s="25" t="e">
        <f>G45+G30</f>
        <v>#DIV/0!</v>
      </c>
      <c r="H46" s="26" t="e">
        <f>H45+H30</f>
        <v>#DIV/0!</v>
      </c>
      <c r="I46" s="26" t="e">
        <f>I45+I30</f>
        <v>#DIV/0!</v>
      </c>
    </row>
    <row r="48" spans="2:9">
      <c r="B48" s="549" t="s">
        <v>619</v>
      </c>
      <c r="C48" s="6"/>
      <c r="D48" s="6"/>
      <c r="E48" s="6"/>
      <c r="F48" s="6"/>
      <c r="G48" s="551" t="e">
        <f>I43</f>
        <v>#DIV/0!</v>
      </c>
      <c r="H48" s="550" t="s">
        <v>618</v>
      </c>
    </row>
  </sheetData>
  <sheetCalcPr fullCalcOnLoad="1"/>
  <sheetProtection sheet="1" objects="1" scenarios="1"/>
  <pageMargins left="0.75" right="0.75" top="1" bottom="1" header="0.5" footer="0.5"/>
  <headerFooter alignWithMargins="0">
    <oddFooter>&amp;L&amp;A&amp;R&amp;D</oddFooter>
  </headerFooter>
  <drawing r:id="rId1"/>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rgb="FF00B050"/>
  </sheetPr>
  <dimension ref="B1:I49"/>
  <sheetViews>
    <sheetView showGridLines="0" showRowColHeaders="0" workbookViewId="0">
      <selection activeCell="F3" sqref="F3"/>
    </sheetView>
  </sheetViews>
  <sheetFormatPr baseColWidth="10" defaultColWidth="8.83203125" defaultRowHeight="14"/>
  <cols>
    <col min="1" max="1" width="4" style="19" customWidth="1"/>
    <col min="2" max="5" width="8.83203125" style="19"/>
    <col min="6" max="6" width="10.83203125" style="19" customWidth="1"/>
    <col min="7" max="7" width="12.5" style="19" bestFit="1" customWidth="1"/>
    <col min="8" max="8" width="11" style="19" customWidth="1"/>
    <col min="9" max="9" width="13.5" style="19" bestFit="1" customWidth="1"/>
    <col min="10" max="261" width="8.83203125" style="19"/>
    <col min="262" max="262" width="10.83203125" style="19" customWidth="1"/>
    <col min="263" max="263" width="12.5" style="19" bestFit="1" customWidth="1"/>
    <col min="264" max="264" width="11" style="19" customWidth="1"/>
    <col min="265" max="265" width="13.5" style="19" bestFit="1" customWidth="1"/>
    <col min="266" max="517" width="8.83203125" style="19"/>
    <col min="518" max="518" width="10.83203125" style="19" customWidth="1"/>
    <col min="519" max="519" width="12.5" style="19" bestFit="1" customWidth="1"/>
    <col min="520" max="520" width="11" style="19" customWidth="1"/>
    <col min="521" max="521" width="13.5" style="19" bestFit="1" customWidth="1"/>
    <col min="522" max="773" width="8.83203125" style="19"/>
    <col min="774" max="774" width="10.83203125" style="19" customWidth="1"/>
    <col min="775" max="775" width="12.5" style="19" bestFit="1" customWidth="1"/>
    <col min="776" max="776" width="11" style="19" customWidth="1"/>
    <col min="777" max="777" width="13.5" style="19" bestFit="1" customWidth="1"/>
    <col min="778" max="1029" width="8.83203125" style="19"/>
    <col min="1030" max="1030" width="10.83203125" style="19" customWidth="1"/>
    <col min="1031" max="1031" width="12.5" style="19" bestFit="1" customWidth="1"/>
    <col min="1032" max="1032" width="11" style="19" customWidth="1"/>
    <col min="1033" max="1033" width="13.5" style="19" bestFit="1" customWidth="1"/>
    <col min="1034" max="1285" width="8.83203125" style="19"/>
    <col min="1286" max="1286" width="10.83203125" style="19" customWidth="1"/>
    <col min="1287" max="1287" width="12.5" style="19" bestFit="1" customWidth="1"/>
    <col min="1288" max="1288" width="11" style="19" customWidth="1"/>
    <col min="1289" max="1289" width="13.5" style="19" bestFit="1" customWidth="1"/>
    <col min="1290" max="1541" width="8.83203125" style="19"/>
    <col min="1542" max="1542" width="10.83203125" style="19" customWidth="1"/>
    <col min="1543" max="1543" width="12.5" style="19" bestFit="1" customWidth="1"/>
    <col min="1544" max="1544" width="11" style="19" customWidth="1"/>
    <col min="1545" max="1545" width="13.5" style="19" bestFit="1" customWidth="1"/>
    <col min="1546" max="1797" width="8.83203125" style="19"/>
    <col min="1798" max="1798" width="10.83203125" style="19" customWidth="1"/>
    <col min="1799" max="1799" width="12.5" style="19" bestFit="1" customWidth="1"/>
    <col min="1800" max="1800" width="11" style="19" customWidth="1"/>
    <col min="1801" max="1801" width="13.5" style="19" bestFit="1" customWidth="1"/>
    <col min="1802" max="2053" width="8.83203125" style="19"/>
    <col min="2054" max="2054" width="10.83203125" style="19" customWidth="1"/>
    <col min="2055" max="2055" width="12.5" style="19" bestFit="1" customWidth="1"/>
    <col min="2056" max="2056" width="11" style="19" customWidth="1"/>
    <col min="2057" max="2057" width="13.5" style="19" bestFit="1" customWidth="1"/>
    <col min="2058" max="2309" width="8.83203125" style="19"/>
    <col min="2310" max="2310" width="10.83203125" style="19" customWidth="1"/>
    <col min="2311" max="2311" width="12.5" style="19" bestFit="1" customWidth="1"/>
    <col min="2312" max="2312" width="11" style="19" customWidth="1"/>
    <col min="2313" max="2313" width="13.5" style="19" bestFit="1" customWidth="1"/>
    <col min="2314" max="2565" width="8.83203125" style="19"/>
    <col min="2566" max="2566" width="10.83203125" style="19" customWidth="1"/>
    <col min="2567" max="2567" width="12.5" style="19" bestFit="1" customWidth="1"/>
    <col min="2568" max="2568" width="11" style="19" customWidth="1"/>
    <col min="2569" max="2569" width="13.5" style="19" bestFit="1" customWidth="1"/>
    <col min="2570" max="2821" width="8.83203125" style="19"/>
    <col min="2822" max="2822" width="10.83203125" style="19" customWidth="1"/>
    <col min="2823" max="2823" width="12.5" style="19" bestFit="1" customWidth="1"/>
    <col min="2824" max="2824" width="11" style="19" customWidth="1"/>
    <col min="2825" max="2825" width="13.5" style="19" bestFit="1" customWidth="1"/>
    <col min="2826" max="3077" width="8.83203125" style="19"/>
    <col min="3078" max="3078" width="10.83203125" style="19" customWidth="1"/>
    <col min="3079" max="3079" width="12.5" style="19" bestFit="1" customWidth="1"/>
    <col min="3080" max="3080" width="11" style="19" customWidth="1"/>
    <col min="3081" max="3081" width="13.5" style="19" bestFit="1" customWidth="1"/>
    <col min="3082" max="3333" width="8.83203125" style="19"/>
    <col min="3334" max="3334" width="10.83203125" style="19" customWidth="1"/>
    <col min="3335" max="3335" width="12.5" style="19" bestFit="1" customWidth="1"/>
    <col min="3336" max="3336" width="11" style="19" customWidth="1"/>
    <col min="3337" max="3337" width="13.5" style="19" bestFit="1" customWidth="1"/>
    <col min="3338" max="3589" width="8.83203125" style="19"/>
    <col min="3590" max="3590" width="10.83203125" style="19" customWidth="1"/>
    <col min="3591" max="3591" width="12.5" style="19" bestFit="1" customWidth="1"/>
    <col min="3592" max="3592" width="11" style="19" customWidth="1"/>
    <col min="3593" max="3593" width="13.5" style="19" bestFit="1" customWidth="1"/>
    <col min="3594" max="3845" width="8.83203125" style="19"/>
    <col min="3846" max="3846" width="10.83203125" style="19" customWidth="1"/>
    <col min="3847" max="3847" width="12.5" style="19" bestFit="1" customWidth="1"/>
    <col min="3848" max="3848" width="11" style="19" customWidth="1"/>
    <col min="3849" max="3849" width="13.5" style="19" bestFit="1" customWidth="1"/>
    <col min="3850" max="4101" width="8.83203125" style="19"/>
    <col min="4102" max="4102" width="10.83203125" style="19" customWidth="1"/>
    <col min="4103" max="4103" width="12.5" style="19" bestFit="1" customWidth="1"/>
    <col min="4104" max="4104" width="11" style="19" customWidth="1"/>
    <col min="4105" max="4105" width="13.5" style="19" bestFit="1" customWidth="1"/>
    <col min="4106" max="4357" width="8.83203125" style="19"/>
    <col min="4358" max="4358" width="10.83203125" style="19" customWidth="1"/>
    <col min="4359" max="4359" width="12.5" style="19" bestFit="1" customWidth="1"/>
    <col min="4360" max="4360" width="11" style="19" customWidth="1"/>
    <col min="4361" max="4361" width="13.5" style="19" bestFit="1" customWidth="1"/>
    <col min="4362" max="4613" width="8.83203125" style="19"/>
    <col min="4614" max="4614" width="10.83203125" style="19" customWidth="1"/>
    <col min="4615" max="4615" width="12.5" style="19" bestFit="1" customWidth="1"/>
    <col min="4616" max="4616" width="11" style="19" customWidth="1"/>
    <col min="4617" max="4617" width="13.5" style="19" bestFit="1" customWidth="1"/>
    <col min="4618" max="4869" width="8.83203125" style="19"/>
    <col min="4870" max="4870" width="10.83203125" style="19" customWidth="1"/>
    <col min="4871" max="4871" width="12.5" style="19" bestFit="1" customWidth="1"/>
    <col min="4872" max="4872" width="11" style="19" customWidth="1"/>
    <col min="4873" max="4873" width="13.5" style="19" bestFit="1" customWidth="1"/>
    <col min="4874" max="5125" width="8.83203125" style="19"/>
    <col min="5126" max="5126" width="10.83203125" style="19" customWidth="1"/>
    <col min="5127" max="5127" width="12.5" style="19" bestFit="1" customWidth="1"/>
    <col min="5128" max="5128" width="11" style="19" customWidth="1"/>
    <col min="5129" max="5129" width="13.5" style="19" bestFit="1" customWidth="1"/>
    <col min="5130" max="5381" width="8.83203125" style="19"/>
    <col min="5382" max="5382" width="10.83203125" style="19" customWidth="1"/>
    <col min="5383" max="5383" width="12.5" style="19" bestFit="1" customWidth="1"/>
    <col min="5384" max="5384" width="11" style="19" customWidth="1"/>
    <col min="5385" max="5385" width="13.5" style="19" bestFit="1" customWidth="1"/>
    <col min="5386" max="5637" width="8.83203125" style="19"/>
    <col min="5638" max="5638" width="10.83203125" style="19" customWidth="1"/>
    <col min="5639" max="5639" width="12.5" style="19" bestFit="1" customWidth="1"/>
    <col min="5640" max="5640" width="11" style="19" customWidth="1"/>
    <col min="5641" max="5641" width="13.5" style="19" bestFit="1" customWidth="1"/>
    <col min="5642" max="5893" width="8.83203125" style="19"/>
    <col min="5894" max="5894" width="10.83203125" style="19" customWidth="1"/>
    <col min="5895" max="5895" width="12.5" style="19" bestFit="1" customWidth="1"/>
    <col min="5896" max="5896" width="11" style="19" customWidth="1"/>
    <col min="5897" max="5897" width="13.5" style="19" bestFit="1" customWidth="1"/>
    <col min="5898" max="6149" width="8.83203125" style="19"/>
    <col min="6150" max="6150" width="10.83203125" style="19" customWidth="1"/>
    <col min="6151" max="6151" width="12.5" style="19" bestFit="1" customWidth="1"/>
    <col min="6152" max="6152" width="11" style="19" customWidth="1"/>
    <col min="6153" max="6153" width="13.5" style="19" bestFit="1" customWidth="1"/>
    <col min="6154" max="6405" width="8.83203125" style="19"/>
    <col min="6406" max="6406" width="10.83203125" style="19" customWidth="1"/>
    <col min="6407" max="6407" width="12.5" style="19" bestFit="1" customWidth="1"/>
    <col min="6408" max="6408" width="11" style="19" customWidth="1"/>
    <col min="6409" max="6409" width="13.5" style="19" bestFit="1" customWidth="1"/>
    <col min="6410" max="6661" width="8.83203125" style="19"/>
    <col min="6662" max="6662" width="10.83203125" style="19" customWidth="1"/>
    <col min="6663" max="6663" width="12.5" style="19" bestFit="1" customWidth="1"/>
    <col min="6664" max="6664" width="11" style="19" customWidth="1"/>
    <col min="6665" max="6665" width="13.5" style="19" bestFit="1" customWidth="1"/>
    <col min="6666" max="6917" width="8.83203125" style="19"/>
    <col min="6918" max="6918" width="10.83203125" style="19" customWidth="1"/>
    <col min="6919" max="6919" width="12.5" style="19" bestFit="1" customWidth="1"/>
    <col min="6920" max="6920" width="11" style="19" customWidth="1"/>
    <col min="6921" max="6921" width="13.5" style="19" bestFit="1" customWidth="1"/>
    <col min="6922" max="7173" width="8.83203125" style="19"/>
    <col min="7174" max="7174" width="10.83203125" style="19" customWidth="1"/>
    <col min="7175" max="7175" width="12.5" style="19" bestFit="1" customWidth="1"/>
    <col min="7176" max="7176" width="11" style="19" customWidth="1"/>
    <col min="7177" max="7177" width="13.5" style="19" bestFit="1" customWidth="1"/>
    <col min="7178" max="7429" width="8.83203125" style="19"/>
    <col min="7430" max="7430" width="10.83203125" style="19" customWidth="1"/>
    <col min="7431" max="7431" width="12.5" style="19" bestFit="1" customWidth="1"/>
    <col min="7432" max="7432" width="11" style="19" customWidth="1"/>
    <col min="7433" max="7433" width="13.5" style="19" bestFit="1" customWidth="1"/>
    <col min="7434" max="7685" width="8.83203125" style="19"/>
    <col min="7686" max="7686" width="10.83203125" style="19" customWidth="1"/>
    <col min="7687" max="7687" width="12.5" style="19" bestFit="1" customWidth="1"/>
    <col min="7688" max="7688" width="11" style="19" customWidth="1"/>
    <col min="7689" max="7689" width="13.5" style="19" bestFit="1" customWidth="1"/>
    <col min="7690" max="7941" width="8.83203125" style="19"/>
    <col min="7942" max="7942" width="10.83203125" style="19" customWidth="1"/>
    <col min="7943" max="7943" width="12.5" style="19" bestFit="1" customWidth="1"/>
    <col min="7944" max="7944" width="11" style="19" customWidth="1"/>
    <col min="7945" max="7945" width="13.5" style="19" bestFit="1" customWidth="1"/>
    <col min="7946" max="8197" width="8.83203125" style="19"/>
    <col min="8198" max="8198" width="10.83203125" style="19" customWidth="1"/>
    <col min="8199" max="8199" width="12.5" style="19" bestFit="1" customWidth="1"/>
    <col min="8200" max="8200" width="11" style="19" customWidth="1"/>
    <col min="8201" max="8201" width="13.5" style="19" bestFit="1" customWidth="1"/>
    <col min="8202" max="8453" width="8.83203125" style="19"/>
    <col min="8454" max="8454" width="10.83203125" style="19" customWidth="1"/>
    <col min="8455" max="8455" width="12.5" style="19" bestFit="1" customWidth="1"/>
    <col min="8456" max="8456" width="11" style="19" customWidth="1"/>
    <col min="8457" max="8457" width="13.5" style="19" bestFit="1" customWidth="1"/>
    <col min="8458" max="8709" width="8.83203125" style="19"/>
    <col min="8710" max="8710" width="10.83203125" style="19" customWidth="1"/>
    <col min="8711" max="8711" width="12.5" style="19" bestFit="1" customWidth="1"/>
    <col min="8712" max="8712" width="11" style="19" customWidth="1"/>
    <col min="8713" max="8713" width="13.5" style="19" bestFit="1" customWidth="1"/>
    <col min="8714" max="8965" width="8.83203125" style="19"/>
    <col min="8966" max="8966" width="10.83203125" style="19" customWidth="1"/>
    <col min="8967" max="8967" width="12.5" style="19" bestFit="1" customWidth="1"/>
    <col min="8968" max="8968" width="11" style="19" customWidth="1"/>
    <col min="8969" max="8969" width="13.5" style="19" bestFit="1" customWidth="1"/>
    <col min="8970" max="9221" width="8.83203125" style="19"/>
    <col min="9222" max="9222" width="10.83203125" style="19" customWidth="1"/>
    <col min="9223" max="9223" width="12.5" style="19" bestFit="1" customWidth="1"/>
    <col min="9224" max="9224" width="11" style="19" customWidth="1"/>
    <col min="9225" max="9225" width="13.5" style="19" bestFit="1" customWidth="1"/>
    <col min="9226" max="9477" width="8.83203125" style="19"/>
    <col min="9478" max="9478" width="10.83203125" style="19" customWidth="1"/>
    <col min="9479" max="9479" width="12.5" style="19" bestFit="1" customWidth="1"/>
    <col min="9480" max="9480" width="11" style="19" customWidth="1"/>
    <col min="9481" max="9481" width="13.5" style="19" bestFit="1" customWidth="1"/>
    <col min="9482" max="9733" width="8.83203125" style="19"/>
    <col min="9734" max="9734" width="10.83203125" style="19" customWidth="1"/>
    <col min="9735" max="9735" width="12.5" style="19" bestFit="1" customWidth="1"/>
    <col min="9736" max="9736" width="11" style="19" customWidth="1"/>
    <col min="9737" max="9737" width="13.5" style="19" bestFit="1" customWidth="1"/>
    <col min="9738" max="9989" width="8.83203125" style="19"/>
    <col min="9990" max="9990" width="10.83203125" style="19" customWidth="1"/>
    <col min="9991" max="9991" width="12.5" style="19" bestFit="1" customWidth="1"/>
    <col min="9992" max="9992" width="11" style="19" customWidth="1"/>
    <col min="9993" max="9993" width="13.5" style="19" bestFit="1" customWidth="1"/>
    <col min="9994" max="10245" width="8.83203125" style="19"/>
    <col min="10246" max="10246" width="10.83203125" style="19" customWidth="1"/>
    <col min="10247" max="10247" width="12.5" style="19" bestFit="1" customWidth="1"/>
    <col min="10248" max="10248" width="11" style="19" customWidth="1"/>
    <col min="10249" max="10249" width="13.5" style="19" bestFit="1" customWidth="1"/>
    <col min="10250" max="10501" width="8.83203125" style="19"/>
    <col min="10502" max="10502" width="10.83203125" style="19" customWidth="1"/>
    <col min="10503" max="10503" width="12.5" style="19" bestFit="1" customWidth="1"/>
    <col min="10504" max="10504" width="11" style="19" customWidth="1"/>
    <col min="10505" max="10505" width="13.5" style="19" bestFit="1" customWidth="1"/>
    <col min="10506" max="10757" width="8.83203125" style="19"/>
    <col min="10758" max="10758" width="10.83203125" style="19" customWidth="1"/>
    <col min="10759" max="10759" width="12.5" style="19" bestFit="1" customWidth="1"/>
    <col min="10760" max="10760" width="11" style="19" customWidth="1"/>
    <col min="10761" max="10761" width="13.5" style="19" bestFit="1" customWidth="1"/>
    <col min="10762" max="11013" width="8.83203125" style="19"/>
    <col min="11014" max="11014" width="10.83203125" style="19" customWidth="1"/>
    <col min="11015" max="11015" width="12.5" style="19" bestFit="1" customWidth="1"/>
    <col min="11016" max="11016" width="11" style="19" customWidth="1"/>
    <col min="11017" max="11017" width="13.5" style="19" bestFit="1" customWidth="1"/>
    <col min="11018" max="11269" width="8.83203125" style="19"/>
    <col min="11270" max="11270" width="10.83203125" style="19" customWidth="1"/>
    <col min="11271" max="11271" width="12.5" style="19" bestFit="1" customWidth="1"/>
    <col min="11272" max="11272" width="11" style="19" customWidth="1"/>
    <col min="11273" max="11273" width="13.5" style="19" bestFit="1" customWidth="1"/>
    <col min="11274" max="11525" width="8.83203125" style="19"/>
    <col min="11526" max="11526" width="10.83203125" style="19" customWidth="1"/>
    <col min="11527" max="11527" width="12.5" style="19" bestFit="1" customWidth="1"/>
    <col min="11528" max="11528" width="11" style="19" customWidth="1"/>
    <col min="11529" max="11529" width="13.5" style="19" bestFit="1" customWidth="1"/>
    <col min="11530" max="11781" width="8.83203125" style="19"/>
    <col min="11782" max="11782" width="10.83203125" style="19" customWidth="1"/>
    <col min="11783" max="11783" width="12.5" style="19" bestFit="1" customWidth="1"/>
    <col min="11784" max="11784" width="11" style="19" customWidth="1"/>
    <col min="11785" max="11785" width="13.5" style="19" bestFit="1" customWidth="1"/>
    <col min="11786" max="12037" width="8.83203125" style="19"/>
    <col min="12038" max="12038" width="10.83203125" style="19" customWidth="1"/>
    <col min="12039" max="12039" width="12.5" style="19" bestFit="1" customWidth="1"/>
    <col min="12040" max="12040" width="11" style="19" customWidth="1"/>
    <col min="12041" max="12041" width="13.5" style="19" bestFit="1" customWidth="1"/>
    <col min="12042" max="12293" width="8.83203125" style="19"/>
    <col min="12294" max="12294" width="10.83203125" style="19" customWidth="1"/>
    <col min="12295" max="12295" width="12.5" style="19" bestFit="1" customWidth="1"/>
    <col min="12296" max="12296" width="11" style="19" customWidth="1"/>
    <col min="12297" max="12297" width="13.5" style="19" bestFit="1" customWidth="1"/>
    <col min="12298" max="12549" width="8.83203125" style="19"/>
    <col min="12550" max="12550" width="10.83203125" style="19" customWidth="1"/>
    <col min="12551" max="12551" width="12.5" style="19" bestFit="1" customWidth="1"/>
    <col min="12552" max="12552" width="11" style="19" customWidth="1"/>
    <col min="12553" max="12553" width="13.5" style="19" bestFit="1" customWidth="1"/>
    <col min="12554" max="12805" width="8.83203125" style="19"/>
    <col min="12806" max="12806" width="10.83203125" style="19" customWidth="1"/>
    <col min="12807" max="12807" width="12.5" style="19" bestFit="1" customWidth="1"/>
    <col min="12808" max="12808" width="11" style="19" customWidth="1"/>
    <col min="12809" max="12809" width="13.5" style="19" bestFit="1" customWidth="1"/>
    <col min="12810" max="13061" width="8.83203125" style="19"/>
    <col min="13062" max="13062" width="10.83203125" style="19" customWidth="1"/>
    <col min="13063" max="13063" width="12.5" style="19" bestFit="1" customWidth="1"/>
    <col min="13064" max="13064" width="11" style="19" customWidth="1"/>
    <col min="13065" max="13065" width="13.5" style="19" bestFit="1" customWidth="1"/>
    <col min="13066" max="13317" width="8.83203125" style="19"/>
    <col min="13318" max="13318" width="10.83203125" style="19" customWidth="1"/>
    <col min="13319" max="13319" width="12.5" style="19" bestFit="1" customWidth="1"/>
    <col min="13320" max="13320" width="11" style="19" customWidth="1"/>
    <col min="13321" max="13321" width="13.5" style="19" bestFit="1" customWidth="1"/>
    <col min="13322" max="13573" width="8.83203125" style="19"/>
    <col min="13574" max="13574" width="10.83203125" style="19" customWidth="1"/>
    <col min="13575" max="13575" width="12.5" style="19" bestFit="1" customWidth="1"/>
    <col min="13576" max="13576" width="11" style="19" customWidth="1"/>
    <col min="13577" max="13577" width="13.5" style="19" bestFit="1" customWidth="1"/>
    <col min="13578" max="13829" width="8.83203125" style="19"/>
    <col min="13830" max="13830" width="10.83203125" style="19" customWidth="1"/>
    <col min="13831" max="13831" width="12.5" style="19" bestFit="1" customWidth="1"/>
    <col min="13832" max="13832" width="11" style="19" customWidth="1"/>
    <col min="13833" max="13833" width="13.5" style="19" bestFit="1" customWidth="1"/>
    <col min="13834" max="14085" width="8.83203125" style="19"/>
    <col min="14086" max="14086" width="10.83203125" style="19" customWidth="1"/>
    <col min="14087" max="14087" width="12.5" style="19" bestFit="1" customWidth="1"/>
    <col min="14088" max="14088" width="11" style="19" customWidth="1"/>
    <col min="14089" max="14089" width="13.5" style="19" bestFit="1" customWidth="1"/>
    <col min="14090" max="14341" width="8.83203125" style="19"/>
    <col min="14342" max="14342" width="10.83203125" style="19" customWidth="1"/>
    <col min="14343" max="14343" width="12.5" style="19" bestFit="1" customWidth="1"/>
    <col min="14344" max="14344" width="11" style="19" customWidth="1"/>
    <col min="14345" max="14345" width="13.5" style="19" bestFit="1" customWidth="1"/>
    <col min="14346" max="14597" width="8.83203125" style="19"/>
    <col min="14598" max="14598" width="10.83203125" style="19" customWidth="1"/>
    <col min="14599" max="14599" width="12.5" style="19" bestFit="1" customWidth="1"/>
    <col min="14600" max="14600" width="11" style="19" customWidth="1"/>
    <col min="14601" max="14601" width="13.5" style="19" bestFit="1" customWidth="1"/>
    <col min="14602" max="14853" width="8.83203125" style="19"/>
    <col min="14854" max="14854" width="10.83203125" style="19" customWidth="1"/>
    <col min="14855" max="14855" width="12.5" style="19" bestFit="1" customWidth="1"/>
    <col min="14856" max="14856" width="11" style="19" customWidth="1"/>
    <col min="14857" max="14857" width="13.5" style="19" bestFit="1" customWidth="1"/>
    <col min="14858" max="15109" width="8.83203125" style="19"/>
    <col min="15110" max="15110" width="10.83203125" style="19" customWidth="1"/>
    <col min="15111" max="15111" width="12.5" style="19" bestFit="1" customWidth="1"/>
    <col min="15112" max="15112" width="11" style="19" customWidth="1"/>
    <col min="15113" max="15113" width="13.5" style="19" bestFit="1" customWidth="1"/>
    <col min="15114" max="15365" width="8.83203125" style="19"/>
    <col min="15366" max="15366" width="10.83203125" style="19" customWidth="1"/>
    <col min="15367" max="15367" width="12.5" style="19" bestFit="1" customWidth="1"/>
    <col min="15368" max="15368" width="11" style="19" customWidth="1"/>
    <col min="15369" max="15369" width="13.5" style="19" bestFit="1" customWidth="1"/>
    <col min="15370" max="15621" width="8.83203125" style="19"/>
    <col min="15622" max="15622" width="10.83203125" style="19" customWidth="1"/>
    <col min="15623" max="15623" width="12.5" style="19" bestFit="1" customWidth="1"/>
    <col min="15624" max="15624" width="11" style="19" customWidth="1"/>
    <col min="15625" max="15625" width="13.5" style="19" bestFit="1" customWidth="1"/>
    <col min="15626" max="15877" width="8.83203125" style="19"/>
    <col min="15878" max="15878" width="10.83203125" style="19" customWidth="1"/>
    <col min="15879" max="15879" width="12.5" style="19" bestFit="1" customWidth="1"/>
    <col min="15880" max="15880" width="11" style="19" customWidth="1"/>
    <col min="15881" max="15881" width="13.5" style="19" bestFit="1" customWidth="1"/>
    <col min="15882" max="16133" width="8.83203125" style="19"/>
    <col min="16134" max="16134" width="10.83203125" style="19" customWidth="1"/>
    <col min="16135" max="16135" width="12.5" style="19" bestFit="1" customWidth="1"/>
    <col min="16136" max="16136" width="11" style="19" customWidth="1"/>
    <col min="16137" max="16137" width="13.5" style="19" bestFit="1" customWidth="1"/>
    <col min="16138" max="16384" width="8.83203125" style="19"/>
  </cols>
  <sheetData>
    <row r="1" spans="2:9" ht="62.25" customHeight="1">
      <c r="B1" s="58" t="s">
        <v>129</v>
      </c>
      <c r="C1" s="18"/>
      <c r="D1" s="18"/>
      <c r="E1" s="18"/>
      <c r="F1" s="18"/>
      <c r="G1" s="18"/>
      <c r="H1" s="18"/>
      <c r="I1" s="18"/>
    </row>
    <row r="2" spans="2:9">
      <c r="B2" s="17"/>
      <c r="C2" s="18"/>
      <c r="D2" s="18"/>
      <c r="E2" s="18"/>
      <c r="F2" s="18"/>
      <c r="G2" s="18"/>
      <c r="H2" s="18"/>
      <c r="I2" s="18"/>
    </row>
    <row r="3" spans="2:9">
      <c r="B3" s="17" t="s">
        <v>130</v>
      </c>
      <c r="C3" s="18"/>
      <c r="D3" s="18"/>
      <c r="E3" s="18"/>
      <c r="F3" s="20">
        <f>'4. Grasser_InputForm'!D13</f>
        <v>0</v>
      </c>
      <c r="G3" s="18"/>
      <c r="H3" s="18"/>
      <c r="I3" s="18"/>
    </row>
    <row r="4" spans="2:9">
      <c r="B4" s="17" t="s">
        <v>121</v>
      </c>
      <c r="C4" s="18"/>
      <c r="D4" s="18"/>
      <c r="E4" s="18"/>
      <c r="F4" s="20">
        <f>'4. Grasser_InputForm'!F13</f>
        <v>0</v>
      </c>
      <c r="G4" s="18"/>
      <c r="H4" s="18"/>
      <c r="I4" s="18"/>
    </row>
    <row r="5" spans="2:9">
      <c r="B5" s="17" t="s">
        <v>71</v>
      </c>
      <c r="C5" s="18"/>
      <c r="D5" s="18"/>
      <c r="E5" s="18"/>
      <c r="F5" s="20">
        <f>'4. Grasser_InputForm'!H13</f>
        <v>0</v>
      </c>
      <c r="G5" s="18"/>
      <c r="H5" s="18"/>
      <c r="I5" s="18"/>
    </row>
    <row r="6" spans="2:9">
      <c r="B6" s="17" t="s">
        <v>228</v>
      </c>
      <c r="C6" s="18"/>
      <c r="D6" s="18"/>
      <c r="E6" s="18"/>
      <c r="F6" s="20">
        <f>Data!D59</f>
        <v>0</v>
      </c>
      <c r="G6" s="18"/>
      <c r="H6" s="18"/>
      <c r="I6" s="18"/>
    </row>
    <row r="7" spans="2:9">
      <c r="B7" s="17" t="s">
        <v>229</v>
      </c>
      <c r="C7" s="18"/>
      <c r="D7" s="18"/>
      <c r="E7" s="18"/>
      <c r="F7" s="21" t="e">
        <f>F6/F8</f>
        <v>#DIV/0!</v>
      </c>
      <c r="G7" s="18"/>
      <c r="H7" s="18"/>
      <c r="I7" s="18"/>
    </row>
    <row r="8" spans="2:9">
      <c r="B8" s="17" t="s">
        <v>132</v>
      </c>
      <c r="C8" s="18"/>
      <c r="D8" s="18"/>
      <c r="E8" s="18"/>
      <c r="F8" s="20">
        <f>Data!E55</f>
        <v>0</v>
      </c>
      <c r="G8" s="18"/>
      <c r="H8" s="18"/>
      <c r="I8" s="18"/>
    </row>
    <row r="9" spans="2:9">
      <c r="B9" s="17"/>
      <c r="C9" s="18"/>
      <c r="D9" s="18"/>
      <c r="E9" s="18"/>
      <c r="F9" s="20"/>
      <c r="G9" s="18"/>
      <c r="H9" s="18"/>
      <c r="I9" s="18"/>
    </row>
    <row r="10" spans="2:9">
      <c r="B10" s="17" t="s">
        <v>36</v>
      </c>
      <c r="C10" s="22"/>
      <c r="D10" s="22"/>
      <c r="E10" s="18"/>
      <c r="F10" s="18"/>
      <c r="G10" s="22" t="s">
        <v>11</v>
      </c>
      <c r="H10" s="22" t="s">
        <v>72</v>
      </c>
      <c r="I10" s="22" t="s">
        <v>231</v>
      </c>
    </row>
    <row r="11" spans="2:9">
      <c r="B11" s="18" t="s">
        <v>103</v>
      </c>
      <c r="C11" s="22"/>
      <c r="D11" s="108">
        <f>'4. Grasser_InputForm'!J13</f>
        <v>0</v>
      </c>
      <c r="E11" s="18" t="s">
        <v>61</v>
      </c>
      <c r="F11" s="18"/>
      <c r="G11" s="23">
        <f>'4. Grasser_InputForm'!J34+'4. Grasser_InputForm'!J36+'4. Grasser_InputForm'!J38</f>
        <v>0</v>
      </c>
      <c r="H11" s="22"/>
      <c r="I11" s="22"/>
    </row>
    <row r="12" spans="2:9">
      <c r="B12" s="18" t="s">
        <v>133</v>
      </c>
      <c r="C12" s="22"/>
      <c r="D12" s="108">
        <f>'4. Grasser_InputForm'!L13</f>
        <v>0</v>
      </c>
      <c r="E12" s="18" t="s">
        <v>61</v>
      </c>
      <c r="F12" s="18"/>
      <c r="G12" s="23">
        <f>'4. Grasser_InputForm'!L13*'4. Grasser_InputForm'!L17</f>
        <v>0</v>
      </c>
      <c r="H12" s="22"/>
      <c r="I12" s="22"/>
    </row>
    <row r="13" spans="2:9" s="30" customFormat="1">
      <c r="B13" s="17" t="s">
        <v>501</v>
      </c>
      <c r="C13" s="22"/>
      <c r="D13" s="22"/>
      <c r="E13" s="17"/>
      <c r="F13" s="22" t="s">
        <v>34</v>
      </c>
      <c r="G13" s="28">
        <f>SUM(G11:G12)</f>
        <v>0</v>
      </c>
      <c r="H13" s="29" t="e">
        <f>G13/($F$3+$F$4)</f>
        <v>#DIV/0!</v>
      </c>
      <c r="I13" s="29"/>
    </row>
    <row r="14" spans="2:9">
      <c r="B14" s="18"/>
      <c r="C14" s="24"/>
      <c r="D14" s="24"/>
      <c r="E14" s="18"/>
      <c r="F14" s="22"/>
      <c r="G14" s="25"/>
      <c r="H14" s="24"/>
      <c r="I14" s="24"/>
    </row>
    <row r="15" spans="2:9">
      <c r="B15" s="17" t="s">
        <v>33</v>
      </c>
      <c r="C15" s="17"/>
      <c r="D15" s="18"/>
      <c r="E15" s="18"/>
      <c r="F15" s="22"/>
      <c r="G15" s="28" t="s">
        <v>11</v>
      </c>
      <c r="H15" s="22" t="s">
        <v>72</v>
      </c>
      <c r="I15" s="22" t="s">
        <v>231</v>
      </c>
    </row>
    <row r="16" spans="2:9">
      <c r="B16" s="18" t="s">
        <v>134</v>
      </c>
      <c r="C16" s="17"/>
      <c r="D16" s="18"/>
      <c r="E16" s="18"/>
      <c r="F16" s="22"/>
      <c r="G16" s="25">
        <f>'4. Grasser_InputForm'!D17*'4. Grasser_InputForm'!D13</f>
        <v>0</v>
      </c>
      <c r="H16" s="26" t="e">
        <f>G16/($F$3+$F$4)</f>
        <v>#DIV/0!</v>
      </c>
      <c r="I16" s="26" t="e">
        <f>G16/$F$6</f>
        <v>#DIV/0!</v>
      </c>
    </row>
    <row r="17" spans="2:9">
      <c r="B17" s="18" t="s">
        <v>135</v>
      </c>
      <c r="C17" s="17"/>
      <c r="D17" s="18"/>
      <c r="E17" s="18"/>
      <c r="F17" s="22"/>
      <c r="G17" s="25">
        <f>'4. Grasser_InputForm'!J30</f>
        <v>0</v>
      </c>
      <c r="H17" s="26" t="e">
        <f>G17/($F$3+$F$4)</f>
        <v>#DIV/0!</v>
      </c>
      <c r="I17" s="26" t="e">
        <f>G17/$F$6</f>
        <v>#DIV/0!</v>
      </c>
    </row>
    <row r="18" spans="2:9">
      <c r="B18" s="18" t="s">
        <v>32</v>
      </c>
      <c r="C18" s="18"/>
      <c r="D18" s="18"/>
      <c r="E18" s="18"/>
      <c r="F18" s="22"/>
      <c r="G18" s="25">
        <f>SUM('4. Grasser_InputForm'!H45:H49)+SUM('4. Grasser_InputForm'!T45:T49)</f>
        <v>0</v>
      </c>
      <c r="H18" s="26" t="e">
        <f>G18/($F$3+$F$4)</f>
        <v>#DIV/0!</v>
      </c>
      <c r="I18" s="26" t="e">
        <f>G18/$F$6</f>
        <v>#DIV/0!</v>
      </c>
    </row>
    <row r="19" spans="2:9">
      <c r="B19" s="18" t="s">
        <v>118</v>
      </c>
      <c r="C19" s="18"/>
      <c r="D19" s="18"/>
      <c r="E19" s="18"/>
      <c r="F19" s="22"/>
      <c r="G19" s="25" t="e">
        <f>'10. Expenses'!H13</f>
        <v>#DIV/0!</v>
      </c>
      <c r="H19" s="26" t="e">
        <f>G19/($F$3+$F$4)</f>
        <v>#DIV/0!</v>
      </c>
      <c r="I19" s="26" t="e">
        <f>G19/$F$6</f>
        <v>#DIV/0!</v>
      </c>
    </row>
    <row r="20" spans="2:9">
      <c r="B20" s="18" t="s">
        <v>31</v>
      </c>
      <c r="C20" s="18"/>
      <c r="D20" s="18"/>
      <c r="E20" s="18"/>
      <c r="F20" s="22"/>
      <c r="G20" s="25" t="e">
        <f>'10. Expenses'!H21</f>
        <v>#DIV/0!</v>
      </c>
      <c r="H20" s="26" t="e">
        <f>G20/($F$3+$F$4)</f>
        <v>#DIV/0!</v>
      </c>
      <c r="I20" s="26" t="e">
        <f>G20/F6</f>
        <v>#DIV/0!</v>
      </c>
    </row>
    <row r="21" spans="2:9">
      <c r="B21" s="17" t="s">
        <v>29</v>
      </c>
      <c r="C21" s="18"/>
      <c r="D21" s="18"/>
      <c r="E21" s="18"/>
      <c r="F21" s="22" t="s">
        <v>28</v>
      </c>
      <c r="G21" s="28" t="e">
        <f>SUM(G16:G20)</f>
        <v>#DIV/0!</v>
      </c>
      <c r="H21" s="29" t="e">
        <f>SUM(H16:H20)</f>
        <v>#DIV/0!</v>
      </c>
      <c r="I21" s="29" t="e">
        <f>(G21-G16)/F6</f>
        <v>#DIV/0!</v>
      </c>
    </row>
    <row r="22" spans="2:9">
      <c r="B22" s="17"/>
      <c r="C22" s="18"/>
      <c r="D22" s="18"/>
      <c r="E22" s="18"/>
      <c r="F22" s="22"/>
      <c r="G22" s="25"/>
      <c r="H22" s="31"/>
      <c r="I22" s="31"/>
    </row>
    <row r="23" spans="2:9">
      <c r="B23" s="17" t="s">
        <v>27</v>
      </c>
      <c r="C23" s="18"/>
      <c r="D23" s="18"/>
      <c r="E23" s="18"/>
      <c r="F23" s="22"/>
      <c r="G23" s="28" t="s">
        <v>11</v>
      </c>
      <c r="H23" s="22" t="s">
        <v>72</v>
      </c>
      <c r="I23" s="22" t="s">
        <v>231</v>
      </c>
    </row>
    <row r="24" spans="2:9">
      <c r="B24" s="18" t="s">
        <v>145</v>
      </c>
      <c r="C24" s="18"/>
      <c r="D24" s="18"/>
      <c r="E24" s="18"/>
      <c r="F24" s="22"/>
      <c r="G24" s="25">
        <f>'10. Expenses'!H42</f>
        <v>0</v>
      </c>
      <c r="H24" s="26" t="e">
        <f t="shared" ref="H24:H33" si="0">G24/($F$3+$F$4)</f>
        <v>#DIV/0!</v>
      </c>
      <c r="I24" s="32" t="e">
        <f t="shared" ref="I24:I34" si="1">G24/$F$6</f>
        <v>#DIV/0!</v>
      </c>
    </row>
    <row r="25" spans="2:9">
      <c r="B25" s="18" t="s">
        <v>26</v>
      </c>
      <c r="C25" s="18"/>
      <c r="D25" s="18"/>
      <c r="E25" s="18"/>
      <c r="F25" s="22"/>
      <c r="G25" s="25">
        <f>'10. Expenses'!H55</f>
        <v>0</v>
      </c>
      <c r="H25" s="26" t="e">
        <f t="shared" si="0"/>
        <v>#DIV/0!</v>
      </c>
      <c r="I25" s="32" t="e">
        <f t="shared" si="1"/>
        <v>#DIV/0!</v>
      </c>
    </row>
    <row r="26" spans="2:9">
      <c r="B26" s="18" t="s">
        <v>25</v>
      </c>
      <c r="C26" s="18"/>
      <c r="D26" s="18"/>
      <c r="E26" s="18"/>
      <c r="F26" s="22"/>
      <c r="G26" s="25">
        <f>'10. Expenses'!H62</f>
        <v>0</v>
      </c>
      <c r="H26" s="26" t="e">
        <f t="shared" si="0"/>
        <v>#DIV/0!</v>
      </c>
      <c r="I26" s="32" t="e">
        <f t="shared" si="1"/>
        <v>#DIV/0!</v>
      </c>
    </row>
    <row r="27" spans="2:9">
      <c r="B27" s="18" t="s">
        <v>226</v>
      </c>
      <c r="C27" s="18"/>
      <c r="D27" s="18"/>
      <c r="E27" s="18"/>
      <c r="F27" s="22"/>
      <c r="G27" s="25" t="e">
        <f>'10. Expenses'!H75</f>
        <v>#DIV/0!</v>
      </c>
      <c r="H27" s="26" t="e">
        <f t="shared" si="0"/>
        <v>#DIV/0!</v>
      </c>
      <c r="I27" s="32" t="e">
        <f t="shared" si="1"/>
        <v>#DIV/0!</v>
      </c>
    </row>
    <row r="28" spans="2:9">
      <c r="B28" s="18" t="s">
        <v>23</v>
      </c>
      <c r="C28" s="18"/>
      <c r="D28" s="18"/>
      <c r="E28" s="18"/>
      <c r="F28" s="22"/>
      <c r="G28" s="25" t="e">
        <f>'10. Expenses'!H82</f>
        <v>#DIV/0!</v>
      </c>
      <c r="H28" s="26" t="e">
        <f t="shared" si="0"/>
        <v>#DIV/0!</v>
      </c>
      <c r="I28" s="32" t="e">
        <f t="shared" si="1"/>
        <v>#DIV/0!</v>
      </c>
    </row>
    <row r="29" spans="2:9">
      <c r="B29" s="18" t="s">
        <v>22</v>
      </c>
      <c r="C29" s="18"/>
      <c r="D29" s="18"/>
      <c r="E29" s="18"/>
      <c r="F29" s="22"/>
      <c r="G29" s="25">
        <f>'10. Expenses'!H87</f>
        <v>0</v>
      </c>
      <c r="H29" s="26" t="e">
        <f t="shared" si="0"/>
        <v>#DIV/0!</v>
      </c>
      <c r="I29" s="32" t="e">
        <f t="shared" si="1"/>
        <v>#DIV/0!</v>
      </c>
    </row>
    <row r="30" spans="2:9">
      <c r="B30" s="18" t="s">
        <v>150</v>
      </c>
      <c r="C30" s="18"/>
      <c r="D30" s="18"/>
      <c r="E30" s="18"/>
      <c r="F30" s="22"/>
      <c r="G30" s="25">
        <f>'11. Unpaid Labour'!J8</f>
        <v>0</v>
      </c>
      <c r="H30" s="26" t="e">
        <f t="shared" si="0"/>
        <v>#DIV/0!</v>
      </c>
      <c r="I30" s="32" t="e">
        <f t="shared" si="1"/>
        <v>#DIV/0!</v>
      </c>
    </row>
    <row r="31" spans="2:9">
      <c r="B31" s="18" t="s">
        <v>21</v>
      </c>
      <c r="C31" s="18"/>
      <c r="D31" s="18"/>
      <c r="E31" s="18"/>
      <c r="F31" s="22"/>
      <c r="G31" s="25" t="e">
        <f>'10. Expenses'!H97</f>
        <v>#DIV/0!</v>
      </c>
      <c r="H31" s="26" t="e">
        <f t="shared" si="0"/>
        <v>#DIV/0!</v>
      </c>
      <c r="I31" s="32" t="e">
        <f t="shared" si="1"/>
        <v>#DIV/0!</v>
      </c>
    </row>
    <row r="32" spans="2:9">
      <c r="B32" s="18" t="s">
        <v>20</v>
      </c>
      <c r="C32" s="18"/>
      <c r="D32" s="18"/>
      <c r="E32" s="18"/>
      <c r="F32" s="22"/>
      <c r="G32" s="25" t="e">
        <f>'12. Assets_for Depreciation'!J26+'12. Assets_for Depreciation'!J51+'12. Assets_for Depreciation'!J86</f>
        <v>#DIV/0!</v>
      </c>
      <c r="H32" s="26" t="e">
        <f t="shared" si="0"/>
        <v>#DIV/0!</v>
      </c>
      <c r="I32" s="32" t="e">
        <f t="shared" si="1"/>
        <v>#DIV/0!</v>
      </c>
    </row>
    <row r="33" spans="2:9">
      <c r="B33" s="18" t="s">
        <v>19</v>
      </c>
      <c r="C33" s="18"/>
      <c r="D33" s="18"/>
      <c r="E33" s="18"/>
      <c r="F33" s="22"/>
      <c r="G33" s="25">
        <f>'10. Expenses'!H102</f>
        <v>0</v>
      </c>
      <c r="H33" s="26" t="e">
        <f t="shared" si="0"/>
        <v>#DIV/0!</v>
      </c>
      <c r="I33" s="32" t="e">
        <f t="shared" si="1"/>
        <v>#DIV/0!</v>
      </c>
    </row>
    <row r="34" spans="2:9">
      <c r="B34" s="17" t="s">
        <v>18</v>
      </c>
      <c r="C34" s="18"/>
      <c r="D34" s="18"/>
      <c r="E34" s="18"/>
      <c r="F34" s="22" t="s">
        <v>17</v>
      </c>
      <c r="G34" s="28" t="e">
        <f>SUM(G24:G33)</f>
        <v>#DIV/0!</v>
      </c>
      <c r="H34" s="29" t="e">
        <f>SUM(H24:H33)</f>
        <v>#DIV/0!</v>
      </c>
      <c r="I34" s="33" t="e">
        <f t="shared" si="1"/>
        <v>#DIV/0!</v>
      </c>
    </row>
    <row r="35" spans="2:9">
      <c r="B35" s="18"/>
      <c r="C35" s="18"/>
      <c r="D35" s="18"/>
      <c r="E35" s="18"/>
      <c r="F35" s="22"/>
      <c r="G35" s="25"/>
      <c r="H35" s="31"/>
      <c r="I35" s="31"/>
    </row>
    <row r="36" spans="2:9">
      <c r="B36" s="17" t="s">
        <v>16</v>
      </c>
      <c r="C36" s="18"/>
      <c r="D36" s="18"/>
      <c r="E36" s="18"/>
      <c r="F36" s="22"/>
      <c r="G36" s="28" t="s">
        <v>11</v>
      </c>
      <c r="H36" s="22" t="s">
        <v>72</v>
      </c>
      <c r="I36" s="22" t="s">
        <v>231</v>
      </c>
    </row>
    <row r="37" spans="2:9">
      <c r="B37" s="18" t="s">
        <v>15</v>
      </c>
      <c r="C37" s="18"/>
      <c r="D37" s="18"/>
      <c r="E37" s="18"/>
      <c r="F37" s="22"/>
      <c r="G37" s="25" t="e">
        <f>'10. Expenses'!AL105</f>
        <v>#DIV/0!</v>
      </c>
      <c r="H37" s="26" t="e">
        <f>G37/($F$3+$F$4)</f>
        <v>#DIV/0!</v>
      </c>
      <c r="I37" s="32" t="e">
        <f>G37/$F$6</f>
        <v>#DIV/0!</v>
      </c>
    </row>
    <row r="38" spans="2:9">
      <c r="B38" s="18" t="s">
        <v>467</v>
      </c>
      <c r="C38" s="18"/>
      <c r="D38" s="18"/>
      <c r="E38" s="18"/>
      <c r="F38" s="22"/>
      <c r="G38" s="25" t="e">
        <f>'10. Expenses'!AL106+'10. Expenses'!AL107</f>
        <v>#DIV/0!</v>
      </c>
      <c r="H38" s="26" t="e">
        <f>G38/($F$3+$F$4)</f>
        <v>#DIV/0!</v>
      </c>
      <c r="I38" s="32" t="e">
        <f>G38/$F$6</f>
        <v>#DIV/0!</v>
      </c>
    </row>
    <row r="39" spans="2:9">
      <c r="B39" s="18" t="s">
        <v>478</v>
      </c>
      <c r="C39" s="18"/>
      <c r="D39" s="18"/>
      <c r="E39" s="18"/>
      <c r="F39" s="22"/>
      <c r="G39" s="25" t="e">
        <f>'10. Expenses'!H114</f>
        <v>#DIV/0!</v>
      </c>
      <c r="H39" s="26" t="e">
        <f>G39/($F$3+$F$4)</f>
        <v>#DIV/0!</v>
      </c>
      <c r="I39" s="32" t="e">
        <f>G39/$F$6</f>
        <v>#DIV/0!</v>
      </c>
    </row>
    <row r="40" spans="2:9">
      <c r="B40" s="17" t="s">
        <v>13</v>
      </c>
      <c r="C40" s="18"/>
      <c r="D40" s="18"/>
      <c r="E40" s="18"/>
      <c r="F40" s="22" t="s">
        <v>12</v>
      </c>
      <c r="G40" s="28" t="e">
        <f>SUM(G37:G39)</f>
        <v>#DIV/0!</v>
      </c>
      <c r="H40" s="29" t="e">
        <f>SUM(H37:H39)</f>
        <v>#DIV/0!</v>
      </c>
      <c r="I40" s="33" t="e">
        <f>G40/$F$6</f>
        <v>#DIV/0!</v>
      </c>
    </row>
    <row r="41" spans="2:9">
      <c r="B41" s="17"/>
      <c r="C41" s="18"/>
      <c r="D41" s="18"/>
      <c r="E41" s="18"/>
      <c r="F41" s="22"/>
      <c r="G41" s="28"/>
      <c r="H41" s="29"/>
      <c r="I41" s="33"/>
    </row>
    <row r="42" spans="2:9">
      <c r="B42" s="18"/>
      <c r="C42" s="18"/>
      <c r="D42" s="18"/>
      <c r="E42" s="18"/>
      <c r="F42" s="22"/>
      <c r="G42" s="28" t="s">
        <v>11</v>
      </c>
      <c r="H42" s="22" t="s">
        <v>72</v>
      </c>
      <c r="I42" s="22" t="s">
        <v>231</v>
      </c>
    </row>
    <row r="43" spans="2:9">
      <c r="B43" s="17" t="s">
        <v>8</v>
      </c>
      <c r="C43" s="17"/>
      <c r="D43" s="18"/>
      <c r="E43" s="18"/>
      <c r="F43" s="22" t="s">
        <v>7</v>
      </c>
      <c r="G43" s="25" t="e">
        <f>G40+G34+G21</f>
        <v>#DIV/0!</v>
      </c>
      <c r="H43" s="25" t="e">
        <f>H40+H34+H21</f>
        <v>#DIV/0!</v>
      </c>
      <c r="I43" s="26" t="e">
        <f>I21+I34+I40</f>
        <v>#DIV/0!</v>
      </c>
    </row>
    <row r="44" spans="2:9">
      <c r="B44" s="17" t="s">
        <v>6</v>
      </c>
      <c r="C44" s="17"/>
      <c r="D44" s="18"/>
      <c r="E44" s="18"/>
      <c r="F44" s="22" t="s">
        <v>5</v>
      </c>
      <c r="G44" s="25" t="e">
        <f>G43-G30</f>
        <v>#DIV/0!</v>
      </c>
      <c r="H44" s="20" t="e">
        <f>H43-H30</f>
        <v>#DIV/0!</v>
      </c>
      <c r="I44" s="26"/>
    </row>
    <row r="45" spans="2:9">
      <c r="B45" s="17" t="s">
        <v>227</v>
      </c>
      <c r="C45" s="17"/>
      <c r="D45" s="31"/>
      <c r="E45" s="31"/>
      <c r="F45" s="27" t="s">
        <v>3</v>
      </c>
      <c r="G45" s="25" t="e">
        <f>G13-G43</f>
        <v>#DIV/0!</v>
      </c>
      <c r="H45" s="25" t="e">
        <f>H13-H43</f>
        <v>#DIV/0!</v>
      </c>
      <c r="I45" s="32" t="e">
        <f>G45/F6</f>
        <v>#DIV/0!</v>
      </c>
    </row>
    <row r="46" spans="2:9">
      <c r="B46" s="17" t="s">
        <v>2</v>
      </c>
      <c r="C46" s="17"/>
      <c r="D46" s="27"/>
      <c r="E46" s="27"/>
      <c r="F46" s="27" t="s">
        <v>1</v>
      </c>
      <c r="G46" s="25" t="e">
        <f>G45+G30</f>
        <v>#DIV/0!</v>
      </c>
      <c r="H46" s="25" t="e">
        <f>H45+H30</f>
        <v>#DIV/0!</v>
      </c>
      <c r="I46" s="26" t="e">
        <f>I45+I30</f>
        <v>#DIV/0!</v>
      </c>
    </row>
    <row r="49" spans="2:8">
      <c r="B49" s="549" t="s">
        <v>620</v>
      </c>
      <c r="C49" s="6"/>
      <c r="D49" s="6"/>
      <c r="E49" s="6"/>
      <c r="F49" s="6"/>
      <c r="G49" s="551" t="e">
        <f>I43</f>
        <v>#DIV/0!</v>
      </c>
      <c r="H49" s="550" t="s">
        <v>618</v>
      </c>
    </row>
  </sheetData>
  <sheetProtection sheet="1" objects="1" scenarios="1"/>
  <pageMargins left="0.7" right="0.7" top="0.75" bottom="0.75" header="0.3" footer="0.3"/>
  <headerFooter>
    <oddFooter>&amp;L&amp;A&amp;R&amp;D</oddFooter>
  </headerFooter>
  <drawing r:id="rId1"/>
  <extLst>
    <ext xmlns:mx="http://schemas.microsoft.com/office/mac/excel/2008/main" uri="http://schemas.microsoft.com/office/mac/excel/2008/main">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rgb="FF122B4A"/>
  </sheetPr>
  <dimension ref="B1:J48"/>
  <sheetViews>
    <sheetView showGridLines="0" showRowColHeaders="0" workbookViewId="0">
      <selection activeCell="F3" sqref="F3"/>
    </sheetView>
  </sheetViews>
  <sheetFormatPr baseColWidth="10" defaultColWidth="8.83203125" defaultRowHeight="14"/>
  <cols>
    <col min="1" max="1" width="4" style="19" customWidth="1"/>
    <col min="2" max="5" width="8.83203125" style="19"/>
    <col min="6" max="6" width="10.83203125" style="19" customWidth="1"/>
    <col min="7" max="7" width="12.5" style="19" bestFit="1" customWidth="1"/>
    <col min="8" max="9" width="11" style="19" customWidth="1"/>
    <col min="10" max="10" width="13.5" style="19" bestFit="1" customWidth="1"/>
    <col min="11" max="262" width="8.83203125" style="19"/>
    <col min="263" max="263" width="10.83203125" style="19" customWidth="1"/>
    <col min="264" max="264" width="12.5" style="19" bestFit="1" customWidth="1"/>
    <col min="265" max="265" width="11" style="19" customWidth="1"/>
    <col min="266" max="266" width="13.5" style="19" bestFit="1" customWidth="1"/>
    <col min="267" max="518" width="8.83203125" style="19"/>
    <col min="519" max="519" width="10.83203125" style="19" customWidth="1"/>
    <col min="520" max="520" width="12.5" style="19" bestFit="1" customWidth="1"/>
    <col min="521" max="521" width="11" style="19" customWidth="1"/>
    <col min="522" max="522" width="13.5" style="19" bestFit="1" customWidth="1"/>
    <col min="523" max="774" width="8.83203125" style="19"/>
    <col min="775" max="775" width="10.83203125" style="19" customWidth="1"/>
    <col min="776" max="776" width="12.5" style="19" bestFit="1" customWidth="1"/>
    <col min="777" max="777" width="11" style="19" customWidth="1"/>
    <col min="778" max="778" width="13.5" style="19" bestFit="1" customWidth="1"/>
    <col min="779" max="1030" width="8.83203125" style="19"/>
    <col min="1031" max="1031" width="10.83203125" style="19" customWidth="1"/>
    <col min="1032" max="1032" width="12.5" style="19" bestFit="1" customWidth="1"/>
    <col min="1033" max="1033" width="11" style="19" customWidth="1"/>
    <col min="1034" max="1034" width="13.5" style="19" bestFit="1" customWidth="1"/>
    <col min="1035" max="1286" width="8.83203125" style="19"/>
    <col min="1287" max="1287" width="10.83203125" style="19" customWidth="1"/>
    <col min="1288" max="1288" width="12.5" style="19" bestFit="1" customWidth="1"/>
    <col min="1289" max="1289" width="11" style="19" customWidth="1"/>
    <col min="1290" max="1290" width="13.5" style="19" bestFit="1" customWidth="1"/>
    <col min="1291" max="1542" width="8.83203125" style="19"/>
    <col min="1543" max="1543" width="10.83203125" style="19" customWidth="1"/>
    <col min="1544" max="1544" width="12.5" style="19" bestFit="1" customWidth="1"/>
    <col min="1545" max="1545" width="11" style="19" customWidth="1"/>
    <col min="1546" max="1546" width="13.5" style="19" bestFit="1" customWidth="1"/>
    <col min="1547" max="1798" width="8.83203125" style="19"/>
    <col min="1799" max="1799" width="10.83203125" style="19" customWidth="1"/>
    <col min="1800" max="1800" width="12.5" style="19" bestFit="1" customWidth="1"/>
    <col min="1801" max="1801" width="11" style="19" customWidth="1"/>
    <col min="1802" max="1802" width="13.5" style="19" bestFit="1" customWidth="1"/>
    <col min="1803" max="2054" width="8.83203125" style="19"/>
    <col min="2055" max="2055" width="10.83203125" style="19" customWidth="1"/>
    <col min="2056" max="2056" width="12.5" style="19" bestFit="1" customWidth="1"/>
    <col min="2057" max="2057" width="11" style="19" customWidth="1"/>
    <col min="2058" max="2058" width="13.5" style="19" bestFit="1" customWidth="1"/>
    <col min="2059" max="2310" width="8.83203125" style="19"/>
    <col min="2311" max="2311" width="10.83203125" style="19" customWidth="1"/>
    <col min="2312" max="2312" width="12.5" style="19" bestFit="1" customWidth="1"/>
    <col min="2313" max="2313" width="11" style="19" customWidth="1"/>
    <col min="2314" max="2314" width="13.5" style="19" bestFit="1" customWidth="1"/>
    <col min="2315" max="2566" width="8.83203125" style="19"/>
    <col min="2567" max="2567" width="10.83203125" style="19" customWidth="1"/>
    <col min="2568" max="2568" width="12.5" style="19" bestFit="1" customWidth="1"/>
    <col min="2569" max="2569" width="11" style="19" customWidth="1"/>
    <col min="2570" max="2570" width="13.5" style="19" bestFit="1" customWidth="1"/>
    <col min="2571" max="2822" width="8.83203125" style="19"/>
    <col min="2823" max="2823" width="10.83203125" style="19" customWidth="1"/>
    <col min="2824" max="2824" width="12.5" style="19" bestFit="1" customWidth="1"/>
    <col min="2825" max="2825" width="11" style="19" customWidth="1"/>
    <col min="2826" max="2826" width="13.5" style="19" bestFit="1" customWidth="1"/>
    <col min="2827" max="3078" width="8.83203125" style="19"/>
    <col min="3079" max="3079" width="10.83203125" style="19" customWidth="1"/>
    <col min="3080" max="3080" width="12.5" style="19" bestFit="1" customWidth="1"/>
    <col min="3081" max="3081" width="11" style="19" customWidth="1"/>
    <col min="3082" max="3082" width="13.5" style="19" bestFit="1" customWidth="1"/>
    <col min="3083" max="3334" width="8.83203125" style="19"/>
    <col min="3335" max="3335" width="10.83203125" style="19" customWidth="1"/>
    <col min="3336" max="3336" width="12.5" style="19" bestFit="1" customWidth="1"/>
    <col min="3337" max="3337" width="11" style="19" customWidth="1"/>
    <col min="3338" max="3338" width="13.5" style="19" bestFit="1" customWidth="1"/>
    <col min="3339" max="3590" width="8.83203125" style="19"/>
    <col min="3591" max="3591" width="10.83203125" style="19" customWidth="1"/>
    <col min="3592" max="3592" width="12.5" style="19" bestFit="1" customWidth="1"/>
    <col min="3593" max="3593" width="11" style="19" customWidth="1"/>
    <col min="3594" max="3594" width="13.5" style="19" bestFit="1" customWidth="1"/>
    <col min="3595" max="3846" width="8.83203125" style="19"/>
    <col min="3847" max="3847" width="10.83203125" style="19" customWidth="1"/>
    <col min="3848" max="3848" width="12.5" style="19" bestFit="1" customWidth="1"/>
    <col min="3849" max="3849" width="11" style="19" customWidth="1"/>
    <col min="3850" max="3850" width="13.5" style="19" bestFit="1" customWidth="1"/>
    <col min="3851" max="4102" width="8.83203125" style="19"/>
    <col min="4103" max="4103" width="10.83203125" style="19" customWidth="1"/>
    <col min="4104" max="4104" width="12.5" style="19" bestFit="1" customWidth="1"/>
    <col min="4105" max="4105" width="11" style="19" customWidth="1"/>
    <col min="4106" max="4106" width="13.5" style="19" bestFit="1" customWidth="1"/>
    <col min="4107" max="4358" width="8.83203125" style="19"/>
    <col min="4359" max="4359" width="10.83203125" style="19" customWidth="1"/>
    <col min="4360" max="4360" width="12.5" style="19" bestFit="1" customWidth="1"/>
    <col min="4361" max="4361" width="11" style="19" customWidth="1"/>
    <col min="4362" max="4362" width="13.5" style="19" bestFit="1" customWidth="1"/>
    <col min="4363" max="4614" width="8.83203125" style="19"/>
    <col min="4615" max="4615" width="10.83203125" style="19" customWidth="1"/>
    <col min="4616" max="4616" width="12.5" style="19" bestFit="1" customWidth="1"/>
    <col min="4617" max="4617" width="11" style="19" customWidth="1"/>
    <col min="4618" max="4618" width="13.5" style="19" bestFit="1" customWidth="1"/>
    <col min="4619" max="4870" width="8.83203125" style="19"/>
    <col min="4871" max="4871" width="10.83203125" style="19" customWidth="1"/>
    <col min="4872" max="4872" width="12.5" style="19" bestFit="1" customWidth="1"/>
    <col min="4873" max="4873" width="11" style="19" customWidth="1"/>
    <col min="4874" max="4874" width="13.5" style="19" bestFit="1" customWidth="1"/>
    <col min="4875" max="5126" width="8.83203125" style="19"/>
    <col min="5127" max="5127" width="10.83203125" style="19" customWidth="1"/>
    <col min="5128" max="5128" width="12.5" style="19" bestFit="1" customWidth="1"/>
    <col min="5129" max="5129" width="11" style="19" customWidth="1"/>
    <col min="5130" max="5130" width="13.5" style="19" bestFit="1" customWidth="1"/>
    <col min="5131" max="5382" width="8.83203125" style="19"/>
    <col min="5383" max="5383" width="10.83203125" style="19" customWidth="1"/>
    <col min="5384" max="5384" width="12.5" style="19" bestFit="1" customWidth="1"/>
    <col min="5385" max="5385" width="11" style="19" customWidth="1"/>
    <col min="5386" max="5386" width="13.5" style="19" bestFit="1" customWidth="1"/>
    <col min="5387" max="5638" width="8.83203125" style="19"/>
    <col min="5639" max="5639" width="10.83203125" style="19" customWidth="1"/>
    <col min="5640" max="5640" width="12.5" style="19" bestFit="1" customWidth="1"/>
    <col min="5641" max="5641" width="11" style="19" customWidth="1"/>
    <col min="5642" max="5642" width="13.5" style="19" bestFit="1" customWidth="1"/>
    <col min="5643" max="5894" width="8.83203125" style="19"/>
    <col min="5895" max="5895" width="10.83203125" style="19" customWidth="1"/>
    <col min="5896" max="5896" width="12.5" style="19" bestFit="1" customWidth="1"/>
    <col min="5897" max="5897" width="11" style="19" customWidth="1"/>
    <col min="5898" max="5898" width="13.5" style="19" bestFit="1" customWidth="1"/>
    <col min="5899" max="6150" width="8.83203125" style="19"/>
    <col min="6151" max="6151" width="10.83203125" style="19" customWidth="1"/>
    <col min="6152" max="6152" width="12.5" style="19" bestFit="1" customWidth="1"/>
    <col min="6153" max="6153" width="11" style="19" customWidth="1"/>
    <col min="6154" max="6154" width="13.5" style="19" bestFit="1" customWidth="1"/>
    <col min="6155" max="6406" width="8.83203125" style="19"/>
    <col min="6407" max="6407" width="10.83203125" style="19" customWidth="1"/>
    <col min="6408" max="6408" width="12.5" style="19" bestFit="1" customWidth="1"/>
    <col min="6409" max="6409" width="11" style="19" customWidth="1"/>
    <col min="6410" max="6410" width="13.5" style="19" bestFit="1" customWidth="1"/>
    <col min="6411" max="6662" width="8.83203125" style="19"/>
    <col min="6663" max="6663" width="10.83203125" style="19" customWidth="1"/>
    <col min="6664" max="6664" width="12.5" style="19" bestFit="1" customWidth="1"/>
    <col min="6665" max="6665" width="11" style="19" customWidth="1"/>
    <col min="6666" max="6666" width="13.5" style="19" bestFit="1" customWidth="1"/>
    <col min="6667" max="6918" width="8.83203125" style="19"/>
    <col min="6919" max="6919" width="10.83203125" style="19" customWidth="1"/>
    <col min="6920" max="6920" width="12.5" style="19" bestFit="1" customWidth="1"/>
    <col min="6921" max="6921" width="11" style="19" customWidth="1"/>
    <col min="6922" max="6922" width="13.5" style="19" bestFit="1" customWidth="1"/>
    <col min="6923" max="7174" width="8.83203125" style="19"/>
    <col min="7175" max="7175" width="10.83203125" style="19" customWidth="1"/>
    <col min="7176" max="7176" width="12.5" style="19" bestFit="1" customWidth="1"/>
    <col min="7177" max="7177" width="11" style="19" customWidth="1"/>
    <col min="7178" max="7178" width="13.5" style="19" bestFit="1" customWidth="1"/>
    <col min="7179" max="7430" width="8.83203125" style="19"/>
    <col min="7431" max="7431" width="10.83203125" style="19" customWidth="1"/>
    <col min="7432" max="7432" width="12.5" style="19" bestFit="1" customWidth="1"/>
    <col min="7433" max="7433" width="11" style="19" customWidth="1"/>
    <col min="7434" max="7434" width="13.5" style="19" bestFit="1" customWidth="1"/>
    <col min="7435" max="7686" width="8.83203125" style="19"/>
    <col min="7687" max="7687" width="10.83203125" style="19" customWidth="1"/>
    <col min="7688" max="7688" width="12.5" style="19" bestFit="1" customWidth="1"/>
    <col min="7689" max="7689" width="11" style="19" customWidth="1"/>
    <col min="7690" max="7690" width="13.5" style="19" bestFit="1" customWidth="1"/>
    <col min="7691" max="7942" width="8.83203125" style="19"/>
    <col min="7943" max="7943" width="10.83203125" style="19" customWidth="1"/>
    <col min="7944" max="7944" width="12.5" style="19" bestFit="1" customWidth="1"/>
    <col min="7945" max="7945" width="11" style="19" customWidth="1"/>
    <col min="7946" max="7946" width="13.5" style="19" bestFit="1" customWidth="1"/>
    <col min="7947" max="8198" width="8.83203125" style="19"/>
    <col min="8199" max="8199" width="10.83203125" style="19" customWidth="1"/>
    <col min="8200" max="8200" width="12.5" style="19" bestFit="1" customWidth="1"/>
    <col min="8201" max="8201" width="11" style="19" customWidth="1"/>
    <col min="8202" max="8202" width="13.5" style="19" bestFit="1" customWidth="1"/>
    <col min="8203" max="8454" width="8.83203125" style="19"/>
    <col min="8455" max="8455" width="10.83203125" style="19" customWidth="1"/>
    <col min="8456" max="8456" width="12.5" style="19" bestFit="1" customWidth="1"/>
    <col min="8457" max="8457" width="11" style="19" customWidth="1"/>
    <col min="8458" max="8458" width="13.5" style="19" bestFit="1" customWidth="1"/>
    <col min="8459" max="8710" width="8.83203125" style="19"/>
    <col min="8711" max="8711" width="10.83203125" style="19" customWidth="1"/>
    <col min="8712" max="8712" width="12.5" style="19" bestFit="1" customWidth="1"/>
    <col min="8713" max="8713" width="11" style="19" customWidth="1"/>
    <col min="8714" max="8714" width="13.5" style="19" bestFit="1" customWidth="1"/>
    <col min="8715" max="8966" width="8.83203125" style="19"/>
    <col min="8967" max="8967" width="10.83203125" style="19" customWidth="1"/>
    <col min="8968" max="8968" width="12.5" style="19" bestFit="1" customWidth="1"/>
    <col min="8969" max="8969" width="11" style="19" customWidth="1"/>
    <col min="8970" max="8970" width="13.5" style="19" bestFit="1" customWidth="1"/>
    <col min="8971" max="9222" width="8.83203125" style="19"/>
    <col min="9223" max="9223" width="10.83203125" style="19" customWidth="1"/>
    <col min="9224" max="9224" width="12.5" style="19" bestFit="1" customWidth="1"/>
    <col min="9225" max="9225" width="11" style="19" customWidth="1"/>
    <col min="9226" max="9226" width="13.5" style="19" bestFit="1" customWidth="1"/>
    <col min="9227" max="9478" width="8.83203125" style="19"/>
    <col min="9479" max="9479" width="10.83203125" style="19" customWidth="1"/>
    <col min="9480" max="9480" width="12.5" style="19" bestFit="1" customWidth="1"/>
    <col min="9481" max="9481" width="11" style="19" customWidth="1"/>
    <col min="9482" max="9482" width="13.5" style="19" bestFit="1" customWidth="1"/>
    <col min="9483" max="9734" width="8.83203125" style="19"/>
    <col min="9735" max="9735" width="10.83203125" style="19" customWidth="1"/>
    <col min="9736" max="9736" width="12.5" style="19" bestFit="1" customWidth="1"/>
    <col min="9737" max="9737" width="11" style="19" customWidth="1"/>
    <col min="9738" max="9738" width="13.5" style="19" bestFit="1" customWidth="1"/>
    <col min="9739" max="9990" width="8.83203125" style="19"/>
    <col min="9991" max="9991" width="10.83203125" style="19" customWidth="1"/>
    <col min="9992" max="9992" width="12.5" style="19" bestFit="1" customWidth="1"/>
    <col min="9993" max="9993" width="11" style="19" customWidth="1"/>
    <col min="9994" max="9994" width="13.5" style="19" bestFit="1" customWidth="1"/>
    <col min="9995" max="10246" width="8.83203125" style="19"/>
    <col min="10247" max="10247" width="10.83203125" style="19" customWidth="1"/>
    <col min="10248" max="10248" width="12.5" style="19" bestFit="1" customWidth="1"/>
    <col min="10249" max="10249" width="11" style="19" customWidth="1"/>
    <col min="10250" max="10250" width="13.5" style="19" bestFit="1" customWidth="1"/>
    <col min="10251" max="10502" width="8.83203125" style="19"/>
    <col min="10503" max="10503" width="10.83203125" style="19" customWidth="1"/>
    <col min="10504" max="10504" width="12.5" style="19" bestFit="1" customWidth="1"/>
    <col min="10505" max="10505" width="11" style="19" customWidth="1"/>
    <col min="10506" max="10506" width="13.5" style="19" bestFit="1" customWidth="1"/>
    <col min="10507" max="10758" width="8.83203125" style="19"/>
    <col min="10759" max="10759" width="10.83203125" style="19" customWidth="1"/>
    <col min="10760" max="10760" width="12.5" style="19" bestFit="1" customWidth="1"/>
    <col min="10761" max="10761" width="11" style="19" customWidth="1"/>
    <col min="10762" max="10762" width="13.5" style="19" bestFit="1" customWidth="1"/>
    <col min="10763" max="11014" width="8.83203125" style="19"/>
    <col min="11015" max="11015" width="10.83203125" style="19" customWidth="1"/>
    <col min="11016" max="11016" width="12.5" style="19" bestFit="1" customWidth="1"/>
    <col min="11017" max="11017" width="11" style="19" customWidth="1"/>
    <col min="11018" max="11018" width="13.5" style="19" bestFit="1" customWidth="1"/>
    <col min="11019" max="11270" width="8.83203125" style="19"/>
    <col min="11271" max="11271" width="10.83203125" style="19" customWidth="1"/>
    <col min="11272" max="11272" width="12.5" style="19" bestFit="1" customWidth="1"/>
    <col min="11273" max="11273" width="11" style="19" customWidth="1"/>
    <col min="11274" max="11274" width="13.5" style="19" bestFit="1" customWidth="1"/>
    <col min="11275" max="11526" width="8.83203125" style="19"/>
    <col min="11527" max="11527" width="10.83203125" style="19" customWidth="1"/>
    <col min="11528" max="11528" width="12.5" style="19" bestFit="1" customWidth="1"/>
    <col min="11529" max="11529" width="11" style="19" customWidth="1"/>
    <col min="11530" max="11530" width="13.5" style="19" bestFit="1" customWidth="1"/>
    <col min="11531" max="11782" width="8.83203125" style="19"/>
    <col min="11783" max="11783" width="10.83203125" style="19" customWidth="1"/>
    <col min="11784" max="11784" width="12.5" style="19" bestFit="1" customWidth="1"/>
    <col min="11785" max="11785" width="11" style="19" customWidth="1"/>
    <col min="11786" max="11786" width="13.5" style="19" bestFit="1" customWidth="1"/>
    <col min="11787" max="12038" width="8.83203125" style="19"/>
    <col min="12039" max="12039" width="10.83203125" style="19" customWidth="1"/>
    <col min="12040" max="12040" width="12.5" style="19" bestFit="1" customWidth="1"/>
    <col min="12041" max="12041" width="11" style="19" customWidth="1"/>
    <col min="12042" max="12042" width="13.5" style="19" bestFit="1" customWidth="1"/>
    <col min="12043" max="12294" width="8.83203125" style="19"/>
    <col min="12295" max="12295" width="10.83203125" style="19" customWidth="1"/>
    <col min="12296" max="12296" width="12.5" style="19" bestFit="1" customWidth="1"/>
    <col min="12297" max="12297" width="11" style="19" customWidth="1"/>
    <col min="12298" max="12298" width="13.5" style="19" bestFit="1" customWidth="1"/>
    <col min="12299" max="12550" width="8.83203125" style="19"/>
    <col min="12551" max="12551" width="10.83203125" style="19" customWidth="1"/>
    <col min="12552" max="12552" width="12.5" style="19" bestFit="1" customWidth="1"/>
    <col min="12553" max="12553" width="11" style="19" customWidth="1"/>
    <col min="12554" max="12554" width="13.5" style="19" bestFit="1" customWidth="1"/>
    <col min="12555" max="12806" width="8.83203125" style="19"/>
    <col min="12807" max="12807" width="10.83203125" style="19" customWidth="1"/>
    <col min="12808" max="12808" width="12.5" style="19" bestFit="1" customWidth="1"/>
    <col min="12809" max="12809" width="11" style="19" customWidth="1"/>
    <col min="12810" max="12810" width="13.5" style="19" bestFit="1" customWidth="1"/>
    <col min="12811" max="13062" width="8.83203125" style="19"/>
    <col min="13063" max="13063" width="10.83203125" style="19" customWidth="1"/>
    <col min="13064" max="13064" width="12.5" style="19" bestFit="1" customWidth="1"/>
    <col min="13065" max="13065" width="11" style="19" customWidth="1"/>
    <col min="13066" max="13066" width="13.5" style="19" bestFit="1" customWidth="1"/>
    <col min="13067" max="13318" width="8.83203125" style="19"/>
    <col min="13319" max="13319" width="10.83203125" style="19" customWidth="1"/>
    <col min="13320" max="13320" width="12.5" style="19" bestFit="1" customWidth="1"/>
    <col min="13321" max="13321" width="11" style="19" customWidth="1"/>
    <col min="13322" max="13322" width="13.5" style="19" bestFit="1" customWidth="1"/>
    <col min="13323" max="13574" width="8.83203125" style="19"/>
    <col min="13575" max="13575" width="10.83203125" style="19" customWidth="1"/>
    <col min="13576" max="13576" width="12.5" style="19" bestFit="1" customWidth="1"/>
    <col min="13577" max="13577" width="11" style="19" customWidth="1"/>
    <col min="13578" max="13578" width="13.5" style="19" bestFit="1" customWidth="1"/>
    <col min="13579" max="13830" width="8.83203125" style="19"/>
    <col min="13831" max="13831" width="10.83203125" style="19" customWidth="1"/>
    <col min="13832" max="13832" width="12.5" style="19" bestFit="1" customWidth="1"/>
    <col min="13833" max="13833" width="11" style="19" customWidth="1"/>
    <col min="13834" max="13834" width="13.5" style="19" bestFit="1" customWidth="1"/>
    <col min="13835" max="14086" width="8.83203125" style="19"/>
    <col min="14087" max="14087" width="10.83203125" style="19" customWidth="1"/>
    <col min="14088" max="14088" width="12.5" style="19" bestFit="1" customWidth="1"/>
    <col min="14089" max="14089" width="11" style="19" customWidth="1"/>
    <col min="14090" max="14090" width="13.5" style="19" bestFit="1" customWidth="1"/>
    <col min="14091" max="14342" width="8.83203125" style="19"/>
    <col min="14343" max="14343" width="10.83203125" style="19" customWidth="1"/>
    <col min="14344" max="14344" width="12.5" style="19" bestFit="1" customWidth="1"/>
    <col min="14345" max="14345" width="11" style="19" customWidth="1"/>
    <col min="14346" max="14346" width="13.5" style="19" bestFit="1" customWidth="1"/>
    <col min="14347" max="14598" width="8.83203125" style="19"/>
    <col min="14599" max="14599" width="10.83203125" style="19" customWidth="1"/>
    <col min="14600" max="14600" width="12.5" style="19" bestFit="1" customWidth="1"/>
    <col min="14601" max="14601" width="11" style="19" customWidth="1"/>
    <col min="14602" max="14602" width="13.5" style="19" bestFit="1" customWidth="1"/>
    <col min="14603" max="14854" width="8.83203125" style="19"/>
    <col min="14855" max="14855" width="10.83203125" style="19" customWidth="1"/>
    <col min="14856" max="14856" width="12.5" style="19" bestFit="1" customWidth="1"/>
    <col min="14857" max="14857" width="11" style="19" customWidth="1"/>
    <col min="14858" max="14858" width="13.5" style="19" bestFit="1" customWidth="1"/>
    <col min="14859" max="15110" width="8.83203125" style="19"/>
    <col min="15111" max="15111" width="10.83203125" style="19" customWidth="1"/>
    <col min="15112" max="15112" width="12.5" style="19" bestFit="1" customWidth="1"/>
    <col min="15113" max="15113" width="11" style="19" customWidth="1"/>
    <col min="15114" max="15114" width="13.5" style="19" bestFit="1" customWidth="1"/>
    <col min="15115" max="15366" width="8.83203125" style="19"/>
    <col min="15367" max="15367" width="10.83203125" style="19" customWidth="1"/>
    <col min="15368" max="15368" width="12.5" style="19" bestFit="1" customWidth="1"/>
    <col min="15369" max="15369" width="11" style="19" customWidth="1"/>
    <col min="15370" max="15370" width="13.5" style="19" bestFit="1" customWidth="1"/>
    <col min="15371" max="15622" width="8.83203125" style="19"/>
    <col min="15623" max="15623" width="10.83203125" style="19" customWidth="1"/>
    <col min="15624" max="15624" width="12.5" style="19" bestFit="1" customWidth="1"/>
    <col min="15625" max="15625" width="11" style="19" customWidth="1"/>
    <col min="15626" max="15626" width="13.5" style="19" bestFit="1" customWidth="1"/>
    <col min="15627" max="15878" width="8.83203125" style="19"/>
    <col min="15879" max="15879" width="10.83203125" style="19" customWidth="1"/>
    <col min="15880" max="15880" width="12.5" style="19" bestFit="1" customWidth="1"/>
    <col min="15881" max="15881" width="11" style="19" customWidth="1"/>
    <col min="15882" max="15882" width="13.5" style="19" bestFit="1" customWidth="1"/>
    <col min="15883" max="16134" width="8.83203125" style="19"/>
    <col min="16135" max="16135" width="10.83203125" style="19" customWidth="1"/>
    <col min="16136" max="16136" width="12.5" style="19" bestFit="1" customWidth="1"/>
    <col min="16137" max="16137" width="11" style="19" customWidth="1"/>
    <col min="16138" max="16138" width="13.5" style="19" bestFit="1" customWidth="1"/>
    <col min="16139" max="16384" width="8.83203125" style="19"/>
  </cols>
  <sheetData>
    <row r="1" spans="2:10" ht="62.25" customHeight="1">
      <c r="B1" s="58" t="s">
        <v>498</v>
      </c>
      <c r="C1" s="18"/>
      <c r="D1" s="18"/>
      <c r="E1" s="18"/>
      <c r="F1" s="18"/>
      <c r="G1" s="18"/>
      <c r="H1" s="18"/>
      <c r="I1" s="18"/>
      <c r="J1" s="18"/>
    </row>
    <row r="2" spans="2:10">
      <c r="B2" s="17"/>
      <c r="C2" s="18"/>
      <c r="D2" s="18"/>
      <c r="E2" s="18"/>
      <c r="F2" s="18"/>
      <c r="G2" s="18"/>
      <c r="H2" s="18"/>
      <c r="I2" s="18"/>
      <c r="J2" s="18"/>
    </row>
    <row r="3" spans="2:10">
      <c r="B3" s="17" t="s">
        <v>499</v>
      </c>
      <c r="C3" s="18"/>
      <c r="D3" s="18"/>
      <c r="E3" s="18"/>
      <c r="F3" s="20">
        <f>'3. Backgrounder_InputForm'!N13+'4. Grasser_InputForm'!L13</f>
        <v>0</v>
      </c>
      <c r="G3" s="18"/>
      <c r="H3" s="18"/>
      <c r="I3" s="18"/>
      <c r="J3" s="18"/>
    </row>
    <row r="4" spans="2:10">
      <c r="B4" s="17" t="s">
        <v>121</v>
      </c>
      <c r="C4" s="18"/>
      <c r="D4" s="18"/>
      <c r="E4" s="18"/>
      <c r="F4" s="20">
        <f>'5. Finisher_InputForm'!H12</f>
        <v>0</v>
      </c>
      <c r="G4" s="18"/>
      <c r="H4" s="18"/>
      <c r="I4" s="18"/>
      <c r="J4" s="18"/>
    </row>
    <row r="5" spans="2:10">
      <c r="B5" s="17" t="s">
        <v>71</v>
      </c>
      <c r="C5" s="18"/>
      <c r="D5" s="18"/>
      <c r="E5" s="18"/>
      <c r="F5" s="20">
        <f>'5. Finisher_InputForm'!J12</f>
        <v>0</v>
      </c>
      <c r="G5" s="18"/>
      <c r="H5" s="18"/>
      <c r="I5" s="18"/>
      <c r="J5" s="18"/>
    </row>
    <row r="6" spans="2:10">
      <c r="B6" s="17" t="s">
        <v>228</v>
      </c>
      <c r="C6" s="18"/>
      <c r="D6" s="18"/>
      <c r="E6" s="18"/>
      <c r="F6" s="20">
        <f>Data!B75</f>
        <v>0</v>
      </c>
      <c r="G6" s="18"/>
      <c r="H6" s="18"/>
      <c r="I6" s="18"/>
      <c r="J6" s="18"/>
    </row>
    <row r="7" spans="2:10">
      <c r="B7" s="17" t="s">
        <v>229</v>
      </c>
      <c r="C7" s="18"/>
      <c r="D7" s="18"/>
      <c r="E7" s="18"/>
      <c r="F7" s="21" t="e">
        <f>F6/F8</f>
        <v>#DIV/0!</v>
      </c>
      <c r="G7" s="18"/>
      <c r="H7" s="18"/>
      <c r="I7" s="18"/>
      <c r="J7" s="18"/>
    </row>
    <row r="8" spans="2:10">
      <c r="B8" s="17" t="s">
        <v>230</v>
      </c>
      <c r="C8" s="18"/>
      <c r="D8" s="18"/>
      <c r="E8" s="18"/>
      <c r="F8" s="20">
        <f>Data!E70</f>
        <v>0</v>
      </c>
      <c r="G8" s="18"/>
      <c r="H8" s="18"/>
      <c r="I8" s="18"/>
      <c r="J8" s="18"/>
    </row>
    <row r="9" spans="2:10">
      <c r="B9" s="17"/>
      <c r="C9" s="18"/>
      <c r="D9" s="18"/>
      <c r="E9" s="18"/>
      <c r="F9" s="20"/>
      <c r="G9" s="18"/>
      <c r="H9" s="18"/>
      <c r="I9" s="18"/>
      <c r="J9" s="18"/>
    </row>
    <row r="10" spans="2:10">
      <c r="B10" s="17" t="s">
        <v>36</v>
      </c>
      <c r="C10" s="22"/>
      <c r="D10" s="22"/>
      <c r="E10" s="18"/>
      <c r="F10" s="18"/>
      <c r="G10" s="22" t="s">
        <v>11</v>
      </c>
      <c r="H10" s="22" t="s">
        <v>72</v>
      </c>
      <c r="I10" s="22" t="s">
        <v>505</v>
      </c>
      <c r="J10" s="22" t="s">
        <v>231</v>
      </c>
    </row>
    <row r="11" spans="2:10">
      <c r="B11" s="18" t="s">
        <v>500</v>
      </c>
      <c r="C11" s="22"/>
      <c r="D11" s="108">
        <f>'5. Finisher_InputForm'!L12</f>
        <v>0</v>
      </c>
      <c r="E11" s="18" t="s">
        <v>61</v>
      </c>
      <c r="F11" s="18"/>
      <c r="G11" s="23">
        <f>'5. Finisher_InputForm'!J31+'5. Finisher_InputForm'!J33+'5. Finisher_InputForm'!J35</f>
        <v>0</v>
      </c>
      <c r="H11" s="22"/>
      <c r="I11" s="22"/>
      <c r="J11" s="22"/>
    </row>
    <row r="12" spans="2:10" s="30" customFormat="1">
      <c r="B12" s="17" t="s">
        <v>234</v>
      </c>
      <c r="C12" s="22"/>
      <c r="D12" s="22"/>
      <c r="E12" s="17"/>
      <c r="F12" s="22" t="s">
        <v>34</v>
      </c>
      <c r="G12" s="28">
        <f>SUM(G11:G11)</f>
        <v>0</v>
      </c>
      <c r="H12" s="29" t="e">
        <f>G12/($F$3+$F$4)</f>
        <v>#DIV/0!</v>
      </c>
      <c r="I12" s="29"/>
      <c r="J12" s="29"/>
    </row>
    <row r="13" spans="2:10">
      <c r="B13" s="18"/>
      <c r="C13" s="24"/>
      <c r="D13" s="24"/>
      <c r="E13" s="18"/>
      <c r="F13" s="22"/>
      <c r="G13" s="25"/>
      <c r="H13" s="24"/>
      <c r="I13" s="24"/>
      <c r="J13" s="24"/>
    </row>
    <row r="14" spans="2:10">
      <c r="B14" s="17" t="s">
        <v>33</v>
      </c>
      <c r="C14" s="17"/>
      <c r="D14" s="18"/>
      <c r="E14" s="18"/>
      <c r="F14" s="22"/>
      <c r="G14" s="28" t="s">
        <v>11</v>
      </c>
      <c r="H14" s="22" t="s">
        <v>72</v>
      </c>
      <c r="I14" s="22" t="s">
        <v>505</v>
      </c>
      <c r="J14" s="22" t="s">
        <v>231</v>
      </c>
    </row>
    <row r="15" spans="2:10">
      <c r="B15" s="18" t="s">
        <v>502</v>
      </c>
      <c r="C15" s="17"/>
      <c r="D15" s="18"/>
      <c r="E15" s="18"/>
      <c r="F15" s="22"/>
      <c r="G15" s="25">
        <f>'5. Finisher_InputForm'!D12*'5. Finisher_InputForm'!D16+'5. Finisher_InputForm'!F12*'5. Finisher_InputForm'!F16</f>
        <v>0</v>
      </c>
      <c r="H15" s="26" t="e">
        <f>G15/($F$3+$F$4)</f>
        <v>#DIV/0!</v>
      </c>
      <c r="I15" s="26"/>
      <c r="J15" s="26" t="e">
        <f>G15/$F$6</f>
        <v>#DIV/0!</v>
      </c>
    </row>
    <row r="16" spans="2:10">
      <c r="B16" s="18" t="s">
        <v>503</v>
      </c>
      <c r="C16" s="17"/>
      <c r="D16" s="18"/>
      <c r="E16" s="18"/>
      <c r="F16" s="22"/>
      <c r="G16" s="25">
        <f>'5. Finisher_InputForm'!J27</f>
        <v>0</v>
      </c>
      <c r="H16" s="26" t="e">
        <f>G16/($F$3+$F$4)</f>
        <v>#DIV/0!</v>
      </c>
      <c r="I16" s="26"/>
      <c r="J16" s="26" t="e">
        <f>G16/$F$6</f>
        <v>#DIV/0!</v>
      </c>
    </row>
    <row r="17" spans="2:10">
      <c r="B17" s="18" t="s">
        <v>504</v>
      </c>
      <c r="C17" s="18"/>
      <c r="D17" s="18"/>
      <c r="E17" s="18"/>
      <c r="F17" s="22"/>
      <c r="G17" s="25">
        <f>SUM('5. Finisher_InputForm'!F42:F46)+SUM('5. Finisher_InputForm'!P42:P46)</f>
        <v>0</v>
      </c>
      <c r="H17" s="26" t="e">
        <f>G17/($F$3+$F$4)</f>
        <v>#DIV/0!</v>
      </c>
      <c r="I17" s="560" t="e">
        <f>G17/$F$8</f>
        <v>#DIV/0!</v>
      </c>
      <c r="J17" s="26" t="e">
        <f>G17/$F$6</f>
        <v>#DIV/0!</v>
      </c>
    </row>
    <row r="18" spans="2:10">
      <c r="B18" s="18" t="s">
        <v>118</v>
      </c>
      <c r="C18" s="18"/>
      <c r="D18" s="18"/>
      <c r="E18" s="18"/>
      <c r="F18" s="22"/>
      <c r="G18" s="25" t="e">
        <f>'10. Expenses'!I13</f>
        <v>#DIV/0!</v>
      </c>
      <c r="H18" s="26" t="e">
        <f>G18/($F$3+$F$4)</f>
        <v>#DIV/0!</v>
      </c>
      <c r="I18" s="560" t="e">
        <f>G18/$F$8</f>
        <v>#DIV/0!</v>
      </c>
      <c r="J18" s="26" t="e">
        <f>G18/$F$6</f>
        <v>#DIV/0!</v>
      </c>
    </row>
    <row r="19" spans="2:10">
      <c r="B19" s="18" t="s">
        <v>31</v>
      </c>
      <c r="C19" s="18"/>
      <c r="D19" s="18"/>
      <c r="E19" s="18"/>
      <c r="F19" s="22"/>
      <c r="G19" s="25" t="e">
        <f>'10. Expenses'!I21</f>
        <v>#DIV/0!</v>
      </c>
      <c r="H19" s="26" t="e">
        <f>G19/($F$3+$F$4)</f>
        <v>#DIV/0!</v>
      </c>
      <c r="I19" s="560" t="e">
        <f>G19/$F$8</f>
        <v>#DIV/0!</v>
      </c>
      <c r="J19" s="26" t="e">
        <f>G19/F6</f>
        <v>#DIV/0!</v>
      </c>
    </row>
    <row r="20" spans="2:10">
      <c r="B20" s="17" t="s">
        <v>29</v>
      </c>
      <c r="C20" s="18"/>
      <c r="D20" s="18"/>
      <c r="E20" s="18"/>
      <c r="F20" s="22" t="s">
        <v>28</v>
      </c>
      <c r="G20" s="28" t="e">
        <f>SUM(G15:G19)</f>
        <v>#DIV/0!</v>
      </c>
      <c r="H20" s="29" t="e">
        <f>SUM(H15:H19)</f>
        <v>#DIV/0!</v>
      </c>
      <c r="I20" s="29" t="e">
        <f>SUM(I15:I19)</f>
        <v>#DIV/0!</v>
      </c>
      <c r="J20" s="29" t="e">
        <f>(G20-G15)/F6</f>
        <v>#DIV/0!</v>
      </c>
    </row>
    <row r="21" spans="2:10">
      <c r="B21" s="17"/>
      <c r="C21" s="18"/>
      <c r="D21" s="18"/>
      <c r="E21" s="18"/>
      <c r="F21" s="22"/>
      <c r="G21" s="25"/>
      <c r="H21" s="31"/>
      <c r="I21" s="31"/>
      <c r="J21" s="31"/>
    </row>
    <row r="22" spans="2:10">
      <c r="B22" s="17" t="s">
        <v>27</v>
      </c>
      <c r="C22" s="18"/>
      <c r="D22" s="18"/>
      <c r="E22" s="18"/>
      <c r="F22" s="22"/>
      <c r="G22" s="28" t="s">
        <v>11</v>
      </c>
      <c r="H22" s="22" t="s">
        <v>72</v>
      </c>
      <c r="I22" s="22" t="s">
        <v>505</v>
      </c>
      <c r="J22" s="22" t="s">
        <v>231</v>
      </c>
    </row>
    <row r="23" spans="2:10">
      <c r="B23" s="18" t="s">
        <v>145</v>
      </c>
      <c r="C23" s="18"/>
      <c r="D23" s="18"/>
      <c r="E23" s="18"/>
      <c r="F23" s="22"/>
      <c r="G23" s="25">
        <f>'10. Expenses'!I42</f>
        <v>0</v>
      </c>
      <c r="H23" s="26" t="e">
        <f t="shared" ref="H23:H32" si="0">G23/($F$3+$F$4)</f>
        <v>#DIV/0!</v>
      </c>
      <c r="I23" s="560" t="e">
        <f t="shared" ref="I23:I32" si="1">G23/$F$8</f>
        <v>#DIV/0!</v>
      </c>
      <c r="J23" s="32" t="e">
        <f t="shared" ref="J23:J33" si="2">G23/$F$6</f>
        <v>#DIV/0!</v>
      </c>
    </row>
    <row r="24" spans="2:10">
      <c r="B24" s="18" t="s">
        <v>26</v>
      </c>
      <c r="C24" s="18"/>
      <c r="D24" s="18"/>
      <c r="E24" s="18"/>
      <c r="F24" s="22"/>
      <c r="G24" s="25">
        <f>'10. Expenses'!I55</f>
        <v>0</v>
      </c>
      <c r="H24" s="26" t="e">
        <f t="shared" si="0"/>
        <v>#DIV/0!</v>
      </c>
      <c r="I24" s="560" t="e">
        <f t="shared" si="1"/>
        <v>#DIV/0!</v>
      </c>
      <c r="J24" s="32" t="e">
        <f t="shared" si="2"/>
        <v>#DIV/0!</v>
      </c>
    </row>
    <row r="25" spans="2:10">
      <c r="B25" s="18" t="s">
        <v>25</v>
      </c>
      <c r="C25" s="18"/>
      <c r="D25" s="18"/>
      <c r="E25" s="18"/>
      <c r="F25" s="22"/>
      <c r="G25" s="25">
        <f>'10. Expenses'!I62</f>
        <v>0</v>
      </c>
      <c r="H25" s="26" t="e">
        <f t="shared" si="0"/>
        <v>#DIV/0!</v>
      </c>
      <c r="I25" s="560" t="e">
        <f t="shared" si="1"/>
        <v>#DIV/0!</v>
      </c>
      <c r="J25" s="32" t="e">
        <f t="shared" si="2"/>
        <v>#DIV/0!</v>
      </c>
    </row>
    <row r="26" spans="2:10">
      <c r="B26" s="18" t="s">
        <v>226</v>
      </c>
      <c r="C26" s="18"/>
      <c r="D26" s="18"/>
      <c r="E26" s="18"/>
      <c r="F26" s="22"/>
      <c r="G26" s="25" t="e">
        <f>'10. Expenses'!I75</f>
        <v>#DIV/0!</v>
      </c>
      <c r="H26" s="26" t="e">
        <f t="shared" si="0"/>
        <v>#DIV/0!</v>
      </c>
      <c r="I26" s="560" t="e">
        <f t="shared" si="1"/>
        <v>#DIV/0!</v>
      </c>
      <c r="J26" s="32" t="e">
        <f t="shared" si="2"/>
        <v>#DIV/0!</v>
      </c>
    </row>
    <row r="27" spans="2:10">
      <c r="B27" s="18" t="s">
        <v>23</v>
      </c>
      <c r="C27" s="18"/>
      <c r="D27" s="18"/>
      <c r="E27" s="18"/>
      <c r="F27" s="22"/>
      <c r="G27" s="25" t="e">
        <f>'10. Expenses'!I82</f>
        <v>#DIV/0!</v>
      </c>
      <c r="H27" s="26" t="e">
        <f t="shared" si="0"/>
        <v>#DIV/0!</v>
      </c>
      <c r="I27" s="560" t="e">
        <f t="shared" si="1"/>
        <v>#DIV/0!</v>
      </c>
      <c r="J27" s="32" t="e">
        <f t="shared" si="2"/>
        <v>#DIV/0!</v>
      </c>
    </row>
    <row r="28" spans="2:10">
      <c r="B28" s="18" t="s">
        <v>22</v>
      </c>
      <c r="C28" s="18"/>
      <c r="D28" s="18"/>
      <c r="E28" s="18"/>
      <c r="F28" s="22"/>
      <c r="G28" s="25">
        <f>'10. Expenses'!I87</f>
        <v>0</v>
      </c>
      <c r="H28" s="26" t="e">
        <f t="shared" si="0"/>
        <v>#DIV/0!</v>
      </c>
      <c r="I28" s="560" t="e">
        <f t="shared" si="1"/>
        <v>#DIV/0!</v>
      </c>
      <c r="J28" s="32" t="e">
        <f t="shared" si="2"/>
        <v>#DIV/0!</v>
      </c>
    </row>
    <row r="29" spans="2:10">
      <c r="B29" s="18" t="s">
        <v>150</v>
      </c>
      <c r="C29" s="18"/>
      <c r="D29" s="18"/>
      <c r="E29" s="18"/>
      <c r="F29" s="22"/>
      <c r="G29" s="25">
        <f>'11. Unpaid Labour'!K8</f>
        <v>0</v>
      </c>
      <c r="H29" s="26" t="e">
        <f t="shared" si="0"/>
        <v>#DIV/0!</v>
      </c>
      <c r="I29" s="560" t="e">
        <f t="shared" si="1"/>
        <v>#DIV/0!</v>
      </c>
      <c r="J29" s="32" t="e">
        <f t="shared" si="2"/>
        <v>#DIV/0!</v>
      </c>
    </row>
    <row r="30" spans="2:10">
      <c r="B30" s="18" t="s">
        <v>21</v>
      </c>
      <c r="C30" s="18"/>
      <c r="D30" s="18"/>
      <c r="E30" s="18"/>
      <c r="F30" s="22"/>
      <c r="G30" s="25" t="e">
        <f>'10. Expenses'!I97</f>
        <v>#DIV/0!</v>
      </c>
      <c r="H30" s="26" t="e">
        <f t="shared" si="0"/>
        <v>#DIV/0!</v>
      </c>
      <c r="I30" s="560" t="e">
        <f t="shared" si="1"/>
        <v>#DIV/0!</v>
      </c>
      <c r="J30" s="32" t="e">
        <f t="shared" si="2"/>
        <v>#DIV/0!</v>
      </c>
    </row>
    <row r="31" spans="2:10">
      <c r="B31" s="18" t="s">
        <v>20</v>
      </c>
      <c r="C31" s="18"/>
      <c r="D31" s="18"/>
      <c r="E31" s="18"/>
      <c r="F31" s="22"/>
      <c r="G31" s="25" t="e">
        <f>'12. Assets_for Depreciation'!K26+'12. Assets_for Depreciation'!K51+'12. Assets_for Depreciation'!K86</f>
        <v>#DIV/0!</v>
      </c>
      <c r="H31" s="26" t="e">
        <f t="shared" si="0"/>
        <v>#DIV/0!</v>
      </c>
      <c r="I31" s="560" t="e">
        <f t="shared" si="1"/>
        <v>#DIV/0!</v>
      </c>
      <c r="J31" s="32" t="e">
        <f t="shared" si="2"/>
        <v>#DIV/0!</v>
      </c>
    </row>
    <row r="32" spans="2:10">
      <c r="B32" s="18" t="s">
        <v>19</v>
      </c>
      <c r="C32" s="18"/>
      <c r="D32" s="18"/>
      <c r="E32" s="18"/>
      <c r="F32" s="22"/>
      <c r="G32" s="25">
        <f>'10. Expenses'!I102</f>
        <v>0</v>
      </c>
      <c r="H32" s="26" t="e">
        <f t="shared" si="0"/>
        <v>#DIV/0!</v>
      </c>
      <c r="I32" s="560" t="e">
        <f t="shared" si="1"/>
        <v>#DIV/0!</v>
      </c>
      <c r="J32" s="32" t="e">
        <f t="shared" si="2"/>
        <v>#DIV/0!</v>
      </c>
    </row>
    <row r="33" spans="2:10">
      <c r="B33" s="17" t="s">
        <v>18</v>
      </c>
      <c r="C33" s="18"/>
      <c r="D33" s="18"/>
      <c r="E33" s="18"/>
      <c r="F33" s="22" t="s">
        <v>17</v>
      </c>
      <c r="G33" s="28" t="e">
        <f>SUM(G23:G32)</f>
        <v>#DIV/0!</v>
      </c>
      <c r="H33" s="29" t="e">
        <f>SUM(H23:H32)</f>
        <v>#DIV/0!</v>
      </c>
      <c r="I33" s="29" t="e">
        <f>SUM(I23:I32)</f>
        <v>#DIV/0!</v>
      </c>
      <c r="J33" s="33" t="e">
        <f t="shared" si="2"/>
        <v>#DIV/0!</v>
      </c>
    </row>
    <row r="34" spans="2:10">
      <c r="B34" s="18"/>
      <c r="C34" s="18"/>
      <c r="D34" s="18"/>
      <c r="E34" s="18"/>
      <c r="F34" s="22"/>
      <c r="G34" s="25"/>
      <c r="H34" s="31"/>
      <c r="I34" s="31"/>
      <c r="J34" s="31"/>
    </row>
    <row r="35" spans="2:10">
      <c r="B35" s="17" t="s">
        <v>16</v>
      </c>
      <c r="C35" s="18"/>
      <c r="D35" s="18"/>
      <c r="E35" s="18"/>
      <c r="F35" s="22"/>
      <c r="G35" s="28" t="s">
        <v>11</v>
      </c>
      <c r="H35" s="22" t="s">
        <v>72</v>
      </c>
      <c r="I35" s="22" t="s">
        <v>505</v>
      </c>
      <c r="J35" s="22" t="s">
        <v>231</v>
      </c>
    </row>
    <row r="36" spans="2:10">
      <c r="B36" s="18" t="s">
        <v>15</v>
      </c>
      <c r="C36" s="18"/>
      <c r="D36" s="18"/>
      <c r="E36" s="18"/>
      <c r="F36" s="22"/>
      <c r="G36" s="25" t="e">
        <f>'10. Expenses'!AM105</f>
        <v>#DIV/0!</v>
      </c>
      <c r="H36" s="26" t="e">
        <f>G36/($F$3+$F$4)</f>
        <v>#DIV/0!</v>
      </c>
      <c r="I36" s="560" t="e">
        <f>G36/$F$8</f>
        <v>#DIV/0!</v>
      </c>
      <c r="J36" s="32" t="e">
        <f>G36/$F$6</f>
        <v>#DIV/0!</v>
      </c>
    </row>
    <row r="37" spans="2:10">
      <c r="B37" s="18" t="s">
        <v>467</v>
      </c>
      <c r="C37" s="18"/>
      <c r="D37" s="18"/>
      <c r="E37" s="18"/>
      <c r="F37" s="22"/>
      <c r="G37" s="25" t="e">
        <f>'10. Expenses'!AM106+'10. Expenses'!AM107</f>
        <v>#DIV/0!</v>
      </c>
      <c r="H37" s="26" t="e">
        <f>G37/($F$3+$F$4)</f>
        <v>#DIV/0!</v>
      </c>
      <c r="I37" s="560" t="e">
        <f>G37/$F$8</f>
        <v>#DIV/0!</v>
      </c>
      <c r="J37" s="32" t="e">
        <f>G37/$F$6</f>
        <v>#DIV/0!</v>
      </c>
    </row>
    <row r="38" spans="2:10">
      <c r="B38" s="18" t="s">
        <v>478</v>
      </c>
      <c r="C38" s="18"/>
      <c r="D38" s="18"/>
      <c r="E38" s="18"/>
      <c r="F38" s="22"/>
      <c r="G38" s="25" t="e">
        <f>'10. Expenses'!I114</f>
        <v>#DIV/0!</v>
      </c>
      <c r="H38" s="26" t="e">
        <f>G38/($F$3+$F$4)</f>
        <v>#DIV/0!</v>
      </c>
      <c r="I38" s="560" t="e">
        <f>G38/$F$8</f>
        <v>#DIV/0!</v>
      </c>
      <c r="J38" s="32" t="e">
        <f>G38/$F$6</f>
        <v>#DIV/0!</v>
      </c>
    </row>
    <row r="39" spans="2:10">
      <c r="B39" s="17" t="s">
        <v>13</v>
      </c>
      <c r="C39" s="18"/>
      <c r="D39" s="18"/>
      <c r="E39" s="18"/>
      <c r="F39" s="22" t="s">
        <v>12</v>
      </c>
      <c r="G39" s="28" t="e">
        <f>SUM(G36:G38)</f>
        <v>#DIV/0!</v>
      </c>
      <c r="H39" s="29" t="e">
        <f>SUM(H36:H38)</f>
        <v>#DIV/0!</v>
      </c>
      <c r="I39" s="29" t="e">
        <f>SUM(I36:I38)</f>
        <v>#DIV/0!</v>
      </c>
      <c r="J39" s="33" t="e">
        <f>G39/$F$6</f>
        <v>#DIV/0!</v>
      </c>
    </row>
    <row r="40" spans="2:10">
      <c r="B40" s="17"/>
      <c r="C40" s="18"/>
      <c r="D40" s="18"/>
      <c r="E40" s="18"/>
      <c r="F40" s="22"/>
      <c r="G40" s="28"/>
      <c r="H40" s="29"/>
      <c r="I40" s="29"/>
      <c r="J40" s="33"/>
    </row>
    <row r="41" spans="2:10">
      <c r="B41" s="18"/>
      <c r="C41" s="18"/>
      <c r="D41" s="18"/>
      <c r="E41" s="18"/>
      <c r="F41" s="22"/>
      <c r="G41" s="28" t="s">
        <v>11</v>
      </c>
      <c r="H41" s="22" t="s">
        <v>72</v>
      </c>
      <c r="I41" s="22" t="s">
        <v>505</v>
      </c>
      <c r="J41" s="22" t="s">
        <v>231</v>
      </c>
    </row>
    <row r="42" spans="2:10">
      <c r="B42" s="17" t="s">
        <v>8</v>
      </c>
      <c r="C42" s="17"/>
      <c r="D42" s="18"/>
      <c r="E42" s="18"/>
      <c r="F42" s="22" t="s">
        <v>7</v>
      </c>
      <c r="G42" s="25" t="e">
        <f>G39+G33+G20</f>
        <v>#DIV/0!</v>
      </c>
      <c r="H42" s="25" t="e">
        <f>H39+H33+H20</f>
        <v>#DIV/0!</v>
      </c>
      <c r="I42" s="25" t="e">
        <f>I39+I33+I20</f>
        <v>#DIV/0!</v>
      </c>
      <c r="J42" s="26" t="e">
        <f>J20+J33+J39</f>
        <v>#DIV/0!</v>
      </c>
    </row>
    <row r="43" spans="2:10">
      <c r="B43" s="17" t="s">
        <v>6</v>
      </c>
      <c r="C43" s="17"/>
      <c r="D43" s="18"/>
      <c r="E43" s="18"/>
      <c r="F43" s="22" t="s">
        <v>5</v>
      </c>
      <c r="G43" s="25" t="e">
        <f>G42-G29</f>
        <v>#DIV/0!</v>
      </c>
      <c r="H43" s="20" t="e">
        <f>H42-H29</f>
        <v>#DIV/0!</v>
      </c>
      <c r="I43" s="20" t="e">
        <f>I42-I29</f>
        <v>#DIV/0!</v>
      </c>
      <c r="J43" s="26"/>
    </row>
    <row r="44" spans="2:10">
      <c r="B44" s="17" t="s">
        <v>227</v>
      </c>
      <c r="C44" s="17"/>
      <c r="D44" s="31"/>
      <c r="E44" s="31"/>
      <c r="F44" s="27" t="s">
        <v>3</v>
      </c>
      <c r="G44" s="25" t="e">
        <f>G12-G42</f>
        <v>#DIV/0!</v>
      </c>
      <c r="H44" s="25" t="e">
        <f>H12-H42</f>
        <v>#DIV/0!</v>
      </c>
      <c r="I44" s="25" t="e">
        <f>I12-I42</f>
        <v>#DIV/0!</v>
      </c>
      <c r="J44" s="32" t="e">
        <f>G44/F6</f>
        <v>#DIV/0!</v>
      </c>
    </row>
    <row r="45" spans="2:10">
      <c r="B45" s="17" t="s">
        <v>2</v>
      </c>
      <c r="C45" s="17"/>
      <c r="D45" s="27"/>
      <c r="E45" s="27"/>
      <c r="F45" s="27" t="s">
        <v>1</v>
      </c>
      <c r="G45" s="25" t="e">
        <f>G44+G29</f>
        <v>#DIV/0!</v>
      </c>
      <c r="H45" s="25" t="e">
        <f>H44+H29</f>
        <v>#DIV/0!</v>
      </c>
      <c r="I45" s="25" t="e">
        <f>I44+I29</f>
        <v>#DIV/0!</v>
      </c>
      <c r="J45" s="26" t="e">
        <f>J44+J29</f>
        <v>#DIV/0!</v>
      </c>
    </row>
    <row r="48" spans="2:10">
      <c r="B48" s="549" t="s">
        <v>497</v>
      </c>
      <c r="C48" s="6"/>
      <c r="D48" s="6"/>
      <c r="E48" s="6"/>
      <c r="F48" s="6"/>
      <c r="G48" s="551" t="e">
        <f>J42</f>
        <v>#DIV/0!</v>
      </c>
      <c r="H48" s="550" t="s">
        <v>618</v>
      </c>
      <c r="I48" s="550"/>
    </row>
  </sheetData>
  <sheetCalcPr fullCalcOnLoad="1"/>
  <sheetProtection sheet="1" objects="1" scenarios="1"/>
  <pageMargins left="0.7" right="0.7" top="0.75" bottom="0.75" header="0.3" footer="0.3"/>
  <headerFooter>
    <oddFooter>&amp;L&amp;A&amp;R&amp;D</oddFooter>
  </headerFooter>
  <drawing r:id="rId1"/>
  <extLst>
    <ext xmlns:mx="http://schemas.microsoft.com/office/mac/excel/2008/main" uri="http://schemas.microsoft.com/office/mac/excel/2008/main">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theme="7" tint="-0.249977111117893"/>
    <pageSetUpPr fitToPage="1"/>
  </sheetPr>
  <dimension ref="B1:G43"/>
  <sheetViews>
    <sheetView showGridLines="0" showRowColHeaders="0" workbookViewId="0">
      <selection activeCell="D3" sqref="D3"/>
    </sheetView>
  </sheetViews>
  <sheetFormatPr baseColWidth="10" defaultColWidth="8.83203125" defaultRowHeight="14"/>
  <cols>
    <col min="1" max="1" width="5.1640625" style="6" customWidth="1"/>
    <col min="2" max="2" width="29.5" style="6" customWidth="1"/>
    <col min="3" max="3" width="10.5" style="6" customWidth="1"/>
    <col min="4" max="4" width="10.83203125" style="7" customWidth="1"/>
    <col min="5" max="6" width="9.33203125" style="7" bestFit="1" customWidth="1"/>
    <col min="7" max="257" width="8.83203125" style="6"/>
    <col min="258" max="258" width="34" style="6" customWidth="1"/>
    <col min="259" max="259" width="13.5" style="6" customWidth="1"/>
    <col min="260" max="260" width="12.5" style="6" bestFit="1" customWidth="1"/>
    <col min="261" max="262" width="9.33203125" style="6" bestFit="1" customWidth="1"/>
    <col min="263" max="513" width="8.83203125" style="6"/>
    <col min="514" max="514" width="34" style="6" customWidth="1"/>
    <col min="515" max="515" width="13.5" style="6" customWidth="1"/>
    <col min="516" max="516" width="12.5" style="6" bestFit="1" customWidth="1"/>
    <col min="517" max="518" width="9.33203125" style="6" bestFit="1" customWidth="1"/>
    <col min="519" max="769" width="8.83203125" style="6"/>
    <col min="770" max="770" width="34" style="6" customWidth="1"/>
    <col min="771" max="771" width="13.5" style="6" customWidth="1"/>
    <col min="772" max="772" width="12.5" style="6" bestFit="1" customWidth="1"/>
    <col min="773" max="774" width="9.33203125" style="6" bestFit="1" customWidth="1"/>
    <col min="775" max="1025" width="8.83203125" style="6"/>
    <col min="1026" max="1026" width="34" style="6" customWidth="1"/>
    <col min="1027" max="1027" width="13.5" style="6" customWidth="1"/>
    <col min="1028" max="1028" width="12.5" style="6" bestFit="1" customWidth="1"/>
    <col min="1029" max="1030" width="9.33203125" style="6" bestFit="1" customWidth="1"/>
    <col min="1031" max="1281" width="8.83203125" style="6"/>
    <col min="1282" max="1282" width="34" style="6" customWidth="1"/>
    <col min="1283" max="1283" width="13.5" style="6" customWidth="1"/>
    <col min="1284" max="1284" width="12.5" style="6" bestFit="1" customWidth="1"/>
    <col min="1285" max="1286" width="9.33203125" style="6" bestFit="1" customWidth="1"/>
    <col min="1287" max="1537" width="8.83203125" style="6"/>
    <col min="1538" max="1538" width="34" style="6" customWidth="1"/>
    <col min="1539" max="1539" width="13.5" style="6" customWidth="1"/>
    <col min="1540" max="1540" width="12.5" style="6" bestFit="1" customWidth="1"/>
    <col min="1541" max="1542" width="9.33203125" style="6" bestFit="1" customWidth="1"/>
    <col min="1543" max="1793" width="8.83203125" style="6"/>
    <col min="1794" max="1794" width="34" style="6" customWidth="1"/>
    <col min="1795" max="1795" width="13.5" style="6" customWidth="1"/>
    <col min="1796" max="1796" width="12.5" style="6" bestFit="1" customWidth="1"/>
    <col min="1797" max="1798" width="9.33203125" style="6" bestFit="1" customWidth="1"/>
    <col min="1799" max="2049" width="8.83203125" style="6"/>
    <col min="2050" max="2050" width="34" style="6" customWidth="1"/>
    <col min="2051" max="2051" width="13.5" style="6" customWidth="1"/>
    <col min="2052" max="2052" width="12.5" style="6" bestFit="1" customWidth="1"/>
    <col min="2053" max="2054" width="9.33203125" style="6" bestFit="1" customWidth="1"/>
    <col min="2055" max="2305" width="8.83203125" style="6"/>
    <col min="2306" max="2306" width="34" style="6" customWidth="1"/>
    <col min="2307" max="2307" width="13.5" style="6" customWidth="1"/>
    <col min="2308" max="2308" width="12.5" style="6" bestFit="1" customWidth="1"/>
    <col min="2309" max="2310" width="9.33203125" style="6" bestFit="1" customWidth="1"/>
    <col min="2311" max="2561" width="8.83203125" style="6"/>
    <col min="2562" max="2562" width="34" style="6" customWidth="1"/>
    <col min="2563" max="2563" width="13.5" style="6" customWidth="1"/>
    <col min="2564" max="2564" width="12.5" style="6" bestFit="1" customWidth="1"/>
    <col min="2565" max="2566" width="9.33203125" style="6" bestFit="1" customWidth="1"/>
    <col min="2567" max="2817" width="8.83203125" style="6"/>
    <col min="2818" max="2818" width="34" style="6" customWidth="1"/>
    <col min="2819" max="2819" width="13.5" style="6" customWidth="1"/>
    <col min="2820" max="2820" width="12.5" style="6" bestFit="1" customWidth="1"/>
    <col min="2821" max="2822" width="9.33203125" style="6" bestFit="1" customWidth="1"/>
    <col min="2823" max="3073" width="8.83203125" style="6"/>
    <col min="3074" max="3074" width="34" style="6" customWidth="1"/>
    <col min="3075" max="3075" width="13.5" style="6" customWidth="1"/>
    <col min="3076" max="3076" width="12.5" style="6" bestFit="1" customWidth="1"/>
    <col min="3077" max="3078" width="9.33203125" style="6" bestFit="1" customWidth="1"/>
    <col min="3079" max="3329" width="8.83203125" style="6"/>
    <col min="3330" max="3330" width="34" style="6" customWidth="1"/>
    <col min="3331" max="3331" width="13.5" style="6" customWidth="1"/>
    <col min="3332" max="3332" width="12.5" style="6" bestFit="1" customWidth="1"/>
    <col min="3333" max="3334" width="9.33203125" style="6" bestFit="1" customWidth="1"/>
    <col min="3335" max="3585" width="8.83203125" style="6"/>
    <col min="3586" max="3586" width="34" style="6" customWidth="1"/>
    <col min="3587" max="3587" width="13.5" style="6" customWidth="1"/>
    <col min="3588" max="3588" width="12.5" style="6" bestFit="1" customWidth="1"/>
    <col min="3589" max="3590" width="9.33203125" style="6" bestFit="1" customWidth="1"/>
    <col min="3591" max="3841" width="8.83203125" style="6"/>
    <col min="3842" max="3842" width="34" style="6" customWidth="1"/>
    <col min="3843" max="3843" width="13.5" style="6" customWidth="1"/>
    <col min="3844" max="3844" width="12.5" style="6" bestFit="1" customWidth="1"/>
    <col min="3845" max="3846" width="9.33203125" style="6" bestFit="1" customWidth="1"/>
    <col min="3847" max="4097" width="8.83203125" style="6"/>
    <col min="4098" max="4098" width="34" style="6" customWidth="1"/>
    <col min="4099" max="4099" width="13.5" style="6" customWidth="1"/>
    <col min="4100" max="4100" width="12.5" style="6" bestFit="1" customWidth="1"/>
    <col min="4101" max="4102" width="9.33203125" style="6" bestFit="1" customWidth="1"/>
    <col min="4103" max="4353" width="8.83203125" style="6"/>
    <col min="4354" max="4354" width="34" style="6" customWidth="1"/>
    <col min="4355" max="4355" width="13.5" style="6" customWidth="1"/>
    <col min="4356" max="4356" width="12.5" style="6" bestFit="1" customWidth="1"/>
    <col min="4357" max="4358" width="9.33203125" style="6" bestFit="1" customWidth="1"/>
    <col min="4359" max="4609" width="8.83203125" style="6"/>
    <col min="4610" max="4610" width="34" style="6" customWidth="1"/>
    <col min="4611" max="4611" width="13.5" style="6" customWidth="1"/>
    <col min="4612" max="4612" width="12.5" style="6" bestFit="1" customWidth="1"/>
    <col min="4613" max="4614" width="9.33203125" style="6" bestFit="1" customWidth="1"/>
    <col min="4615" max="4865" width="8.83203125" style="6"/>
    <col min="4866" max="4866" width="34" style="6" customWidth="1"/>
    <col min="4867" max="4867" width="13.5" style="6" customWidth="1"/>
    <col min="4868" max="4868" width="12.5" style="6" bestFit="1" customWidth="1"/>
    <col min="4869" max="4870" width="9.33203125" style="6" bestFit="1" customWidth="1"/>
    <col min="4871" max="5121" width="8.83203125" style="6"/>
    <col min="5122" max="5122" width="34" style="6" customWidth="1"/>
    <col min="5123" max="5123" width="13.5" style="6" customWidth="1"/>
    <col min="5124" max="5124" width="12.5" style="6" bestFit="1" customWidth="1"/>
    <col min="5125" max="5126" width="9.33203125" style="6" bestFit="1" customWidth="1"/>
    <col min="5127" max="5377" width="8.83203125" style="6"/>
    <col min="5378" max="5378" width="34" style="6" customWidth="1"/>
    <col min="5379" max="5379" width="13.5" style="6" customWidth="1"/>
    <col min="5380" max="5380" width="12.5" style="6" bestFit="1" customWidth="1"/>
    <col min="5381" max="5382" width="9.33203125" style="6" bestFit="1" customWidth="1"/>
    <col min="5383" max="5633" width="8.83203125" style="6"/>
    <col min="5634" max="5634" width="34" style="6" customWidth="1"/>
    <col min="5635" max="5635" width="13.5" style="6" customWidth="1"/>
    <col min="5636" max="5636" width="12.5" style="6" bestFit="1" customWidth="1"/>
    <col min="5637" max="5638" width="9.33203125" style="6" bestFit="1" customWidth="1"/>
    <col min="5639" max="5889" width="8.83203125" style="6"/>
    <col min="5890" max="5890" width="34" style="6" customWidth="1"/>
    <col min="5891" max="5891" width="13.5" style="6" customWidth="1"/>
    <col min="5892" max="5892" width="12.5" style="6" bestFit="1" customWidth="1"/>
    <col min="5893" max="5894" width="9.33203125" style="6" bestFit="1" customWidth="1"/>
    <col min="5895" max="6145" width="8.83203125" style="6"/>
    <col min="6146" max="6146" width="34" style="6" customWidth="1"/>
    <col min="6147" max="6147" width="13.5" style="6" customWidth="1"/>
    <col min="6148" max="6148" width="12.5" style="6" bestFit="1" customWidth="1"/>
    <col min="6149" max="6150" width="9.33203125" style="6" bestFit="1" customWidth="1"/>
    <col min="6151" max="6401" width="8.83203125" style="6"/>
    <col min="6402" max="6402" width="34" style="6" customWidth="1"/>
    <col min="6403" max="6403" width="13.5" style="6" customWidth="1"/>
    <col min="6404" max="6404" width="12.5" style="6" bestFit="1" customWidth="1"/>
    <col min="6405" max="6406" width="9.33203125" style="6" bestFit="1" customWidth="1"/>
    <col min="6407" max="6657" width="8.83203125" style="6"/>
    <col min="6658" max="6658" width="34" style="6" customWidth="1"/>
    <col min="6659" max="6659" width="13.5" style="6" customWidth="1"/>
    <col min="6660" max="6660" width="12.5" style="6" bestFit="1" customWidth="1"/>
    <col min="6661" max="6662" width="9.33203125" style="6" bestFit="1" customWidth="1"/>
    <col min="6663" max="6913" width="8.83203125" style="6"/>
    <col min="6914" max="6914" width="34" style="6" customWidth="1"/>
    <col min="6915" max="6915" width="13.5" style="6" customWidth="1"/>
    <col min="6916" max="6916" width="12.5" style="6" bestFit="1" customWidth="1"/>
    <col min="6917" max="6918" width="9.33203125" style="6" bestFit="1" customWidth="1"/>
    <col min="6919" max="7169" width="8.83203125" style="6"/>
    <col min="7170" max="7170" width="34" style="6" customWidth="1"/>
    <col min="7171" max="7171" width="13.5" style="6" customWidth="1"/>
    <col min="7172" max="7172" width="12.5" style="6" bestFit="1" customWidth="1"/>
    <col min="7173" max="7174" width="9.33203125" style="6" bestFit="1" customWidth="1"/>
    <col min="7175" max="7425" width="8.83203125" style="6"/>
    <col min="7426" max="7426" width="34" style="6" customWidth="1"/>
    <col min="7427" max="7427" width="13.5" style="6" customWidth="1"/>
    <col min="7428" max="7428" width="12.5" style="6" bestFit="1" customWidth="1"/>
    <col min="7429" max="7430" width="9.33203125" style="6" bestFit="1" customWidth="1"/>
    <col min="7431" max="7681" width="8.83203125" style="6"/>
    <col min="7682" max="7682" width="34" style="6" customWidth="1"/>
    <col min="7683" max="7683" width="13.5" style="6" customWidth="1"/>
    <col min="7684" max="7684" width="12.5" style="6" bestFit="1" customWidth="1"/>
    <col min="7685" max="7686" width="9.33203125" style="6" bestFit="1" customWidth="1"/>
    <col min="7687" max="7937" width="8.83203125" style="6"/>
    <col min="7938" max="7938" width="34" style="6" customWidth="1"/>
    <col min="7939" max="7939" width="13.5" style="6" customWidth="1"/>
    <col min="7940" max="7940" width="12.5" style="6" bestFit="1" customWidth="1"/>
    <col min="7941" max="7942" width="9.33203125" style="6" bestFit="1" customWidth="1"/>
    <col min="7943" max="8193" width="8.83203125" style="6"/>
    <col min="8194" max="8194" width="34" style="6" customWidth="1"/>
    <col min="8195" max="8195" width="13.5" style="6" customWidth="1"/>
    <col min="8196" max="8196" width="12.5" style="6" bestFit="1" customWidth="1"/>
    <col min="8197" max="8198" width="9.33203125" style="6" bestFit="1" customWidth="1"/>
    <col min="8199" max="8449" width="8.83203125" style="6"/>
    <col min="8450" max="8450" width="34" style="6" customWidth="1"/>
    <col min="8451" max="8451" width="13.5" style="6" customWidth="1"/>
    <col min="8452" max="8452" width="12.5" style="6" bestFit="1" customWidth="1"/>
    <col min="8453" max="8454" width="9.33203125" style="6" bestFit="1" customWidth="1"/>
    <col min="8455" max="8705" width="8.83203125" style="6"/>
    <col min="8706" max="8706" width="34" style="6" customWidth="1"/>
    <col min="8707" max="8707" width="13.5" style="6" customWidth="1"/>
    <col min="8708" max="8708" width="12.5" style="6" bestFit="1" customWidth="1"/>
    <col min="8709" max="8710" width="9.33203125" style="6" bestFit="1" customWidth="1"/>
    <col min="8711" max="8961" width="8.83203125" style="6"/>
    <col min="8962" max="8962" width="34" style="6" customWidth="1"/>
    <col min="8963" max="8963" width="13.5" style="6" customWidth="1"/>
    <col min="8964" max="8964" width="12.5" style="6" bestFit="1" customWidth="1"/>
    <col min="8965" max="8966" width="9.33203125" style="6" bestFit="1" customWidth="1"/>
    <col min="8967" max="9217" width="8.83203125" style="6"/>
    <col min="9218" max="9218" width="34" style="6" customWidth="1"/>
    <col min="9219" max="9219" width="13.5" style="6" customWidth="1"/>
    <col min="9220" max="9220" width="12.5" style="6" bestFit="1" customWidth="1"/>
    <col min="9221" max="9222" width="9.33203125" style="6" bestFit="1" customWidth="1"/>
    <col min="9223" max="9473" width="8.83203125" style="6"/>
    <col min="9474" max="9474" width="34" style="6" customWidth="1"/>
    <col min="9475" max="9475" width="13.5" style="6" customWidth="1"/>
    <col min="9476" max="9476" width="12.5" style="6" bestFit="1" customWidth="1"/>
    <col min="9477" max="9478" width="9.33203125" style="6" bestFit="1" customWidth="1"/>
    <col min="9479" max="9729" width="8.83203125" style="6"/>
    <col min="9730" max="9730" width="34" style="6" customWidth="1"/>
    <col min="9731" max="9731" width="13.5" style="6" customWidth="1"/>
    <col min="9732" max="9732" width="12.5" style="6" bestFit="1" customWidth="1"/>
    <col min="9733" max="9734" width="9.33203125" style="6" bestFit="1" customWidth="1"/>
    <col min="9735" max="9985" width="8.83203125" style="6"/>
    <col min="9986" max="9986" width="34" style="6" customWidth="1"/>
    <col min="9987" max="9987" width="13.5" style="6" customWidth="1"/>
    <col min="9988" max="9988" width="12.5" style="6" bestFit="1" customWidth="1"/>
    <col min="9989" max="9990" width="9.33203125" style="6" bestFit="1" customWidth="1"/>
    <col min="9991" max="10241" width="8.83203125" style="6"/>
    <col min="10242" max="10242" width="34" style="6" customWidth="1"/>
    <col min="10243" max="10243" width="13.5" style="6" customWidth="1"/>
    <col min="10244" max="10244" width="12.5" style="6" bestFit="1" customWidth="1"/>
    <col min="10245" max="10246" width="9.33203125" style="6" bestFit="1" customWidth="1"/>
    <col min="10247" max="10497" width="8.83203125" style="6"/>
    <col min="10498" max="10498" width="34" style="6" customWidth="1"/>
    <col min="10499" max="10499" width="13.5" style="6" customWidth="1"/>
    <col min="10500" max="10500" width="12.5" style="6" bestFit="1" customWidth="1"/>
    <col min="10501" max="10502" width="9.33203125" style="6" bestFit="1" customWidth="1"/>
    <col min="10503" max="10753" width="8.83203125" style="6"/>
    <col min="10754" max="10754" width="34" style="6" customWidth="1"/>
    <col min="10755" max="10755" width="13.5" style="6" customWidth="1"/>
    <col min="10756" max="10756" width="12.5" style="6" bestFit="1" customWidth="1"/>
    <col min="10757" max="10758" width="9.33203125" style="6" bestFit="1" customWidth="1"/>
    <col min="10759" max="11009" width="8.83203125" style="6"/>
    <col min="11010" max="11010" width="34" style="6" customWidth="1"/>
    <col min="11011" max="11011" width="13.5" style="6" customWidth="1"/>
    <col min="11012" max="11012" width="12.5" style="6" bestFit="1" customWidth="1"/>
    <col min="11013" max="11014" width="9.33203125" style="6" bestFit="1" customWidth="1"/>
    <col min="11015" max="11265" width="8.83203125" style="6"/>
    <col min="11266" max="11266" width="34" style="6" customWidth="1"/>
    <col min="11267" max="11267" width="13.5" style="6" customWidth="1"/>
    <col min="11268" max="11268" width="12.5" style="6" bestFit="1" customWidth="1"/>
    <col min="11269" max="11270" width="9.33203125" style="6" bestFit="1" customWidth="1"/>
    <col min="11271" max="11521" width="8.83203125" style="6"/>
    <col min="11522" max="11522" width="34" style="6" customWidth="1"/>
    <col min="11523" max="11523" width="13.5" style="6" customWidth="1"/>
    <col min="11524" max="11524" width="12.5" style="6" bestFit="1" customWidth="1"/>
    <col min="11525" max="11526" width="9.33203125" style="6" bestFit="1" customWidth="1"/>
    <col min="11527" max="11777" width="8.83203125" style="6"/>
    <col min="11778" max="11778" width="34" style="6" customWidth="1"/>
    <col min="11779" max="11779" width="13.5" style="6" customWidth="1"/>
    <col min="11780" max="11780" width="12.5" style="6" bestFit="1" customWidth="1"/>
    <col min="11781" max="11782" width="9.33203125" style="6" bestFit="1" customWidth="1"/>
    <col min="11783" max="12033" width="8.83203125" style="6"/>
    <col min="12034" max="12034" width="34" style="6" customWidth="1"/>
    <col min="12035" max="12035" width="13.5" style="6" customWidth="1"/>
    <col min="12036" max="12036" width="12.5" style="6" bestFit="1" customWidth="1"/>
    <col min="12037" max="12038" width="9.33203125" style="6" bestFit="1" customWidth="1"/>
    <col min="12039" max="12289" width="8.83203125" style="6"/>
    <col min="12290" max="12290" width="34" style="6" customWidth="1"/>
    <col min="12291" max="12291" width="13.5" style="6" customWidth="1"/>
    <col min="12292" max="12292" width="12.5" style="6" bestFit="1" customWidth="1"/>
    <col min="12293" max="12294" width="9.33203125" style="6" bestFit="1" customWidth="1"/>
    <col min="12295" max="12545" width="8.83203125" style="6"/>
    <col min="12546" max="12546" width="34" style="6" customWidth="1"/>
    <col min="12547" max="12547" width="13.5" style="6" customWidth="1"/>
    <col min="12548" max="12548" width="12.5" style="6" bestFit="1" customWidth="1"/>
    <col min="12549" max="12550" width="9.33203125" style="6" bestFit="1" customWidth="1"/>
    <col min="12551" max="12801" width="8.83203125" style="6"/>
    <col min="12802" max="12802" width="34" style="6" customWidth="1"/>
    <col min="12803" max="12803" width="13.5" style="6" customWidth="1"/>
    <col min="12804" max="12804" width="12.5" style="6" bestFit="1" customWidth="1"/>
    <col min="12805" max="12806" width="9.33203125" style="6" bestFit="1" customWidth="1"/>
    <col min="12807" max="13057" width="8.83203125" style="6"/>
    <col min="13058" max="13058" width="34" style="6" customWidth="1"/>
    <col min="13059" max="13059" width="13.5" style="6" customWidth="1"/>
    <col min="13060" max="13060" width="12.5" style="6" bestFit="1" customWidth="1"/>
    <col min="13061" max="13062" width="9.33203125" style="6" bestFit="1" customWidth="1"/>
    <col min="13063" max="13313" width="8.83203125" style="6"/>
    <col min="13314" max="13314" width="34" style="6" customWidth="1"/>
    <col min="13315" max="13315" width="13.5" style="6" customWidth="1"/>
    <col min="13316" max="13316" width="12.5" style="6" bestFit="1" customWidth="1"/>
    <col min="13317" max="13318" width="9.33203125" style="6" bestFit="1" customWidth="1"/>
    <col min="13319" max="13569" width="8.83203125" style="6"/>
    <col min="13570" max="13570" width="34" style="6" customWidth="1"/>
    <col min="13571" max="13571" width="13.5" style="6" customWidth="1"/>
    <col min="13572" max="13572" width="12.5" style="6" bestFit="1" customWidth="1"/>
    <col min="13573" max="13574" width="9.33203125" style="6" bestFit="1" customWidth="1"/>
    <col min="13575" max="13825" width="8.83203125" style="6"/>
    <col min="13826" max="13826" width="34" style="6" customWidth="1"/>
    <col min="13827" max="13827" width="13.5" style="6" customWidth="1"/>
    <col min="13828" max="13828" width="12.5" style="6" bestFit="1" customWidth="1"/>
    <col min="13829" max="13830" width="9.33203125" style="6" bestFit="1" customWidth="1"/>
    <col min="13831" max="14081" width="8.83203125" style="6"/>
    <col min="14082" max="14082" width="34" style="6" customWidth="1"/>
    <col min="14083" max="14083" width="13.5" style="6" customWidth="1"/>
    <col min="14084" max="14084" width="12.5" style="6" bestFit="1" customWidth="1"/>
    <col min="14085" max="14086" width="9.33203125" style="6" bestFit="1" customWidth="1"/>
    <col min="14087" max="14337" width="8.83203125" style="6"/>
    <col min="14338" max="14338" width="34" style="6" customWidth="1"/>
    <col min="14339" max="14339" width="13.5" style="6" customWidth="1"/>
    <col min="14340" max="14340" width="12.5" style="6" bestFit="1" customWidth="1"/>
    <col min="14341" max="14342" width="9.33203125" style="6" bestFit="1" customWidth="1"/>
    <col min="14343" max="14593" width="8.83203125" style="6"/>
    <col min="14594" max="14594" width="34" style="6" customWidth="1"/>
    <col min="14595" max="14595" width="13.5" style="6" customWidth="1"/>
    <col min="14596" max="14596" width="12.5" style="6" bestFit="1" customWidth="1"/>
    <col min="14597" max="14598" width="9.33203125" style="6" bestFit="1" customWidth="1"/>
    <col min="14599" max="14849" width="8.83203125" style="6"/>
    <col min="14850" max="14850" width="34" style="6" customWidth="1"/>
    <col min="14851" max="14851" width="13.5" style="6" customWidth="1"/>
    <col min="14852" max="14852" width="12.5" style="6" bestFit="1" customWidth="1"/>
    <col min="14853" max="14854" width="9.33203125" style="6" bestFit="1" customWidth="1"/>
    <col min="14855" max="15105" width="8.83203125" style="6"/>
    <col min="15106" max="15106" width="34" style="6" customWidth="1"/>
    <col min="15107" max="15107" width="13.5" style="6" customWidth="1"/>
    <col min="15108" max="15108" width="12.5" style="6" bestFit="1" customWidth="1"/>
    <col min="15109" max="15110" width="9.33203125" style="6" bestFit="1" customWidth="1"/>
    <col min="15111" max="15361" width="8.83203125" style="6"/>
    <col min="15362" max="15362" width="34" style="6" customWidth="1"/>
    <col min="15363" max="15363" width="13.5" style="6" customWidth="1"/>
    <col min="15364" max="15364" width="12.5" style="6" bestFit="1" customWidth="1"/>
    <col min="15365" max="15366" width="9.33203125" style="6" bestFit="1" customWidth="1"/>
    <col min="15367" max="15617" width="8.83203125" style="6"/>
    <col min="15618" max="15618" width="34" style="6" customWidth="1"/>
    <col min="15619" max="15619" width="13.5" style="6" customWidth="1"/>
    <col min="15620" max="15620" width="12.5" style="6" bestFit="1" customWidth="1"/>
    <col min="15621" max="15622" width="9.33203125" style="6" bestFit="1" customWidth="1"/>
    <col min="15623" max="15873" width="8.83203125" style="6"/>
    <col min="15874" max="15874" width="34" style="6" customWidth="1"/>
    <col min="15875" max="15875" width="13.5" style="6" customWidth="1"/>
    <col min="15876" max="15876" width="12.5" style="6" bestFit="1" customWidth="1"/>
    <col min="15877" max="15878" width="9.33203125" style="6" bestFit="1" customWidth="1"/>
    <col min="15879" max="16129" width="8.83203125" style="6"/>
    <col min="16130" max="16130" width="34" style="6" customWidth="1"/>
    <col min="16131" max="16131" width="13.5" style="6" customWidth="1"/>
    <col min="16132" max="16132" width="12.5" style="6" bestFit="1" customWidth="1"/>
    <col min="16133" max="16134" width="9.33203125" style="6" bestFit="1" customWidth="1"/>
    <col min="16135" max="16384" width="8.83203125" style="6"/>
  </cols>
  <sheetData>
    <row r="1" spans="2:7" ht="88.5" customHeight="1">
      <c r="B1" s="171" t="str">
        <f>'About My Ranch'!F19&amp;" PASTURE - COST OF PRODUCTION"</f>
        <v xml:space="preserve"> PASTURE - COST OF PRODUCTION</v>
      </c>
    </row>
    <row r="2" spans="2:7">
      <c r="B2" s="5"/>
      <c r="C2" s="113"/>
      <c r="E2" s="172"/>
    </row>
    <row r="3" spans="2:7" s="5" customFormat="1" ht="16.5" customHeight="1">
      <c r="B3" s="5" t="s">
        <v>494</v>
      </c>
      <c r="C3" s="431"/>
      <c r="D3" s="563">
        <f>'6. Pasture_InputForm'!D11</f>
        <v>0</v>
      </c>
      <c r="E3" s="431"/>
      <c r="F3" s="431"/>
    </row>
    <row r="4" spans="2:7" s="5" customFormat="1" ht="16.5" customHeight="1">
      <c r="B4" s="556" t="s">
        <v>495</v>
      </c>
      <c r="C4" s="557"/>
      <c r="D4" s="558">
        <f>'6. Pasture_InputForm'!F11</f>
        <v>0</v>
      </c>
      <c r="E4" s="557"/>
      <c r="F4" s="431"/>
    </row>
    <row r="5" spans="2:7" s="5" customFormat="1" ht="16.5" customHeight="1">
      <c r="B5" s="556" t="s">
        <v>496</v>
      </c>
      <c r="C5" s="557"/>
      <c r="D5" s="558">
        <f>'6. Pasture_InputForm'!H11</f>
        <v>0</v>
      </c>
      <c r="E5" s="557"/>
      <c r="F5" s="431"/>
    </row>
    <row r="6" spans="2:7">
      <c r="B6" s="556" t="s">
        <v>509</v>
      </c>
      <c r="C6" s="115"/>
      <c r="D6" s="820">
        <f>D3+D4+D5</f>
        <v>0</v>
      </c>
    </row>
    <row r="7" spans="2:7">
      <c r="B7" s="556" t="s">
        <v>87</v>
      </c>
      <c r="C7" s="118"/>
      <c r="D7" s="820">
        <f>Data!K35</f>
        <v>0</v>
      </c>
    </row>
    <row r="8" spans="2:7">
      <c r="B8" s="556"/>
      <c r="C8" s="118"/>
      <c r="D8" s="9"/>
    </row>
    <row r="9" spans="2:7">
      <c r="C9" s="7"/>
    </row>
    <row r="10" spans="2:7">
      <c r="B10" s="5" t="s">
        <v>94</v>
      </c>
      <c r="C10" s="5"/>
      <c r="D10" s="116" t="s">
        <v>11</v>
      </c>
      <c r="E10" s="116" t="s">
        <v>236</v>
      </c>
      <c r="F10" s="116" t="s">
        <v>88</v>
      </c>
    </row>
    <row r="11" spans="2:7">
      <c r="B11" s="6" t="s">
        <v>514</v>
      </c>
      <c r="D11" s="13">
        <f>SUM('1. Cow-Calf_InputForm'!H103:H109)+SUM('1. Cow-Calf_InputForm'!T103:T109)</f>
        <v>0</v>
      </c>
      <c r="E11" s="14"/>
      <c r="F11" s="14"/>
    </row>
    <row r="12" spans="2:7">
      <c r="B12" s="6" t="s">
        <v>93</v>
      </c>
      <c r="D12" s="13">
        <f>SUM('2a. Replacement_InputForm'!H56:H60)+SUM('2a. Replacement_InputForm'!T56:T60)</f>
        <v>0</v>
      </c>
      <c r="E12" s="14"/>
      <c r="F12" s="14"/>
    </row>
    <row r="13" spans="2:7">
      <c r="B13" s="6" t="s">
        <v>92</v>
      </c>
      <c r="D13" s="13">
        <f>SUM('4. Grasser_InputForm'!H45:H49)</f>
        <v>0</v>
      </c>
      <c r="E13" s="14"/>
      <c r="F13" s="14"/>
    </row>
    <row r="14" spans="2:7">
      <c r="B14" s="6" t="s">
        <v>211</v>
      </c>
      <c r="D14" s="564">
        <f>'6. Pasture_InputForm'!B15</f>
        <v>0</v>
      </c>
      <c r="E14" s="14"/>
      <c r="F14" s="14"/>
      <c r="G14" s="190"/>
    </row>
    <row r="15" spans="2:7">
      <c r="B15" s="5" t="s">
        <v>239</v>
      </c>
      <c r="C15" s="9" t="s">
        <v>34</v>
      </c>
      <c r="D15" s="15">
        <f>SUM(D11:D14)</f>
        <v>0</v>
      </c>
      <c r="E15" s="16" t="e">
        <f>D15/$D$6</f>
        <v>#DIV/0!</v>
      </c>
      <c r="F15" s="16" t="e">
        <f>D15/$D$7</f>
        <v>#DIV/0!</v>
      </c>
    </row>
    <row r="16" spans="2:7">
      <c r="C16" s="9"/>
      <c r="D16" s="13"/>
      <c r="E16" s="14"/>
      <c r="F16" s="14"/>
    </row>
    <row r="17" spans="2:6">
      <c r="B17" s="5" t="s">
        <v>241</v>
      </c>
      <c r="C17" s="9"/>
      <c r="D17" s="15" t="s">
        <v>11</v>
      </c>
      <c r="E17" s="16" t="s">
        <v>236</v>
      </c>
      <c r="F17" s="16" t="s">
        <v>88</v>
      </c>
    </row>
    <row r="18" spans="2:6">
      <c r="B18" s="6" t="s">
        <v>73</v>
      </c>
      <c r="C18" s="9"/>
      <c r="D18" s="13">
        <f>'10. Expenses'!AO117</f>
        <v>0</v>
      </c>
      <c r="E18" s="16" t="e">
        <f>D18/$D$6</f>
        <v>#DIV/0!</v>
      </c>
      <c r="F18" s="16" t="e">
        <f>D18/$D$7</f>
        <v>#DIV/0!</v>
      </c>
    </row>
    <row r="19" spans="2:6">
      <c r="B19" s="6" t="s">
        <v>89</v>
      </c>
      <c r="C19" s="9"/>
      <c r="D19" s="13">
        <f>'10. Expenses'!AO118</f>
        <v>0</v>
      </c>
      <c r="E19" s="16" t="e">
        <f t="shared" ref="E19:E34" si="0">D19/$D$6</f>
        <v>#DIV/0!</v>
      </c>
      <c r="F19" s="16" t="e">
        <f t="shared" ref="F19:F34" si="1">D19/$D$7</f>
        <v>#DIV/0!</v>
      </c>
    </row>
    <row r="20" spans="2:6">
      <c r="B20" s="6" t="s">
        <v>74</v>
      </c>
      <c r="C20" s="9"/>
      <c r="D20" s="13">
        <f>'10. Expenses'!AO119</f>
        <v>0</v>
      </c>
      <c r="E20" s="16" t="e">
        <f t="shared" si="0"/>
        <v>#DIV/0!</v>
      </c>
      <c r="F20" s="16" t="e">
        <f t="shared" si="1"/>
        <v>#DIV/0!</v>
      </c>
    </row>
    <row r="21" spans="2:6">
      <c r="B21" s="6" t="s">
        <v>145</v>
      </c>
      <c r="C21" s="9"/>
      <c r="D21" s="13">
        <f>'10. Expenses'!K42</f>
        <v>0</v>
      </c>
      <c r="E21" s="16" t="e">
        <f t="shared" si="0"/>
        <v>#DIV/0!</v>
      </c>
      <c r="F21" s="16" t="e">
        <f t="shared" si="1"/>
        <v>#DIV/0!</v>
      </c>
    </row>
    <row r="22" spans="2:6">
      <c r="B22" s="6" t="s">
        <v>26</v>
      </c>
      <c r="C22" s="9"/>
      <c r="D22" s="13">
        <f>'10. Expenses'!K55</f>
        <v>0</v>
      </c>
      <c r="E22" s="16" t="e">
        <f t="shared" si="0"/>
        <v>#DIV/0!</v>
      </c>
      <c r="F22" s="16" t="e">
        <f t="shared" si="1"/>
        <v>#DIV/0!</v>
      </c>
    </row>
    <row r="23" spans="2:6">
      <c r="B23" s="6" t="s">
        <v>194</v>
      </c>
      <c r="C23" s="9"/>
      <c r="D23" s="13">
        <f>'10. Expenses'!K62</f>
        <v>0</v>
      </c>
      <c r="E23" s="16" t="e">
        <f t="shared" si="0"/>
        <v>#DIV/0!</v>
      </c>
      <c r="F23" s="16" t="e">
        <f t="shared" si="1"/>
        <v>#DIV/0!</v>
      </c>
    </row>
    <row r="24" spans="2:6">
      <c r="B24" s="6" t="s">
        <v>226</v>
      </c>
      <c r="C24" s="9"/>
      <c r="D24" s="13" t="e">
        <f>'10. Expenses'!K75</f>
        <v>#DIV/0!</v>
      </c>
      <c r="E24" s="16" t="e">
        <f t="shared" si="0"/>
        <v>#DIV/0!</v>
      </c>
      <c r="F24" s="16" t="e">
        <f t="shared" si="1"/>
        <v>#DIV/0!</v>
      </c>
    </row>
    <row r="25" spans="2:6">
      <c r="B25" s="6" t="s">
        <v>23</v>
      </c>
      <c r="C25" s="9"/>
      <c r="D25" s="13" t="e">
        <f>'10. Expenses'!K82</f>
        <v>#DIV/0!</v>
      </c>
      <c r="E25" s="16" t="e">
        <f t="shared" si="0"/>
        <v>#DIV/0!</v>
      </c>
      <c r="F25" s="16" t="e">
        <f t="shared" si="1"/>
        <v>#DIV/0!</v>
      </c>
    </row>
    <row r="26" spans="2:6">
      <c r="B26" s="6" t="s">
        <v>189</v>
      </c>
      <c r="C26" s="9"/>
      <c r="D26" s="13" t="e">
        <f>'10. Expenses'!AO106+'10. Expenses'!AO107</f>
        <v>#DIV/0!</v>
      </c>
      <c r="E26" s="16" t="e">
        <f t="shared" si="0"/>
        <v>#DIV/0!</v>
      </c>
      <c r="F26" s="16" t="e">
        <f t="shared" si="1"/>
        <v>#DIV/0!</v>
      </c>
    </row>
    <row r="27" spans="2:6">
      <c r="B27" s="6" t="s">
        <v>22</v>
      </c>
      <c r="C27" s="9"/>
      <c r="D27" s="13">
        <f>'10. Expenses'!K87</f>
        <v>0</v>
      </c>
      <c r="E27" s="16" t="e">
        <f t="shared" si="0"/>
        <v>#DIV/0!</v>
      </c>
      <c r="F27" s="16" t="e">
        <f t="shared" si="1"/>
        <v>#DIV/0!</v>
      </c>
    </row>
    <row r="28" spans="2:6">
      <c r="B28" s="6" t="s">
        <v>150</v>
      </c>
      <c r="C28" s="9"/>
      <c r="D28" s="13">
        <f>'11. Unpaid Labour'!M8</f>
        <v>0</v>
      </c>
      <c r="E28" s="16" t="e">
        <f t="shared" si="0"/>
        <v>#DIV/0!</v>
      </c>
      <c r="F28" s="16" t="e">
        <f t="shared" si="1"/>
        <v>#DIV/0!</v>
      </c>
    </row>
    <row r="29" spans="2:6">
      <c r="B29" s="6" t="s">
        <v>515</v>
      </c>
      <c r="C29" s="9"/>
      <c r="D29" s="13" t="e">
        <f>'10. Expenses'!K97-'10. Expenses'!AO92</f>
        <v>#DIV/0!</v>
      </c>
      <c r="E29" s="16" t="e">
        <f t="shared" si="0"/>
        <v>#DIV/0!</v>
      </c>
      <c r="F29" s="16" t="e">
        <f t="shared" si="1"/>
        <v>#DIV/0!</v>
      </c>
    </row>
    <row r="30" spans="2:6">
      <c r="B30" s="6" t="s">
        <v>20</v>
      </c>
      <c r="C30" s="9"/>
      <c r="D30" s="13" t="e">
        <f>'12. Assets_for Depreciation'!M86+'12. Assets_for Depreciation'!M51+'12. Assets_for Depreciation'!M26</f>
        <v>#DIV/0!</v>
      </c>
      <c r="E30" s="16" t="e">
        <f t="shared" si="0"/>
        <v>#DIV/0!</v>
      </c>
      <c r="F30" s="16" t="e">
        <f t="shared" si="1"/>
        <v>#DIV/0!</v>
      </c>
    </row>
    <row r="31" spans="2:6">
      <c r="B31" s="6" t="s">
        <v>147</v>
      </c>
      <c r="C31" s="9"/>
      <c r="D31" s="13" t="e">
        <f>'10. Expenses'!AO105</f>
        <v>#DIV/0!</v>
      </c>
      <c r="E31" s="16" t="e">
        <f t="shared" si="0"/>
        <v>#DIV/0!</v>
      </c>
      <c r="F31" s="16" t="e">
        <f t="shared" si="1"/>
        <v>#DIV/0!</v>
      </c>
    </row>
    <row r="32" spans="2:6">
      <c r="B32" s="6" t="s">
        <v>76</v>
      </c>
      <c r="C32" s="9"/>
      <c r="D32" s="13">
        <f>'10. Expenses'!AO92</f>
        <v>0</v>
      </c>
      <c r="E32" s="16" t="e">
        <f t="shared" si="0"/>
        <v>#DIV/0!</v>
      </c>
      <c r="F32" s="16" t="e">
        <f t="shared" si="1"/>
        <v>#DIV/0!</v>
      </c>
    </row>
    <row r="33" spans="2:6">
      <c r="B33" s="6" t="s">
        <v>137</v>
      </c>
      <c r="C33" s="9"/>
      <c r="D33" s="13">
        <f>SUM('1. Cow-Calf_InputForm'!T103:T109)+SUM('2a. Replacement_InputForm'!T56:T60)+SUM('4. Grasser_InputForm'!T45:T49)</f>
        <v>0</v>
      </c>
      <c r="E33" s="16" t="e">
        <f t="shared" si="0"/>
        <v>#DIV/0!</v>
      </c>
      <c r="F33" s="16" t="e">
        <f t="shared" si="1"/>
        <v>#DIV/0!</v>
      </c>
    </row>
    <row r="34" spans="2:6">
      <c r="B34" s="6" t="s">
        <v>317</v>
      </c>
      <c r="C34" s="9"/>
      <c r="D34" s="13">
        <f>'10. Expenses'!K102</f>
        <v>0</v>
      </c>
      <c r="E34" s="16" t="e">
        <f t="shared" si="0"/>
        <v>#DIV/0!</v>
      </c>
      <c r="F34" s="16" t="e">
        <f t="shared" si="1"/>
        <v>#DIV/0!</v>
      </c>
    </row>
    <row r="35" spans="2:6">
      <c r="B35" s="5" t="s">
        <v>90</v>
      </c>
      <c r="C35" s="9" t="s">
        <v>28</v>
      </c>
      <c r="D35" s="15" t="e">
        <f>SUM(D18:D34)</f>
        <v>#DIV/0!</v>
      </c>
      <c r="E35" s="16" t="e">
        <f>SUM(E18:E34)</f>
        <v>#DIV/0!</v>
      </c>
      <c r="F35" s="16" t="e">
        <f>SUM(F18:F34)</f>
        <v>#DIV/0!</v>
      </c>
    </row>
    <row r="36" spans="2:6">
      <c r="B36" s="5"/>
      <c r="C36" s="9"/>
      <c r="D36" s="15"/>
      <c r="E36" s="16"/>
      <c r="F36" s="16"/>
    </row>
    <row r="37" spans="2:6">
      <c r="B37" s="5"/>
      <c r="C37" s="9"/>
      <c r="D37" s="116" t="s">
        <v>11</v>
      </c>
      <c r="E37" s="116" t="s">
        <v>236</v>
      </c>
      <c r="F37" s="116" t="s">
        <v>88</v>
      </c>
    </row>
    <row r="38" spans="2:6">
      <c r="B38" s="5" t="s">
        <v>91</v>
      </c>
      <c r="C38" s="9" t="s">
        <v>17</v>
      </c>
      <c r="D38" s="15" t="e">
        <f>D35-D28</f>
        <v>#DIV/0!</v>
      </c>
      <c r="E38" s="16" t="e">
        <f>E35-E28</f>
        <v>#DIV/0!</v>
      </c>
      <c r="F38" s="16" t="e">
        <f>F35-F28</f>
        <v>#DIV/0!</v>
      </c>
    </row>
    <row r="39" spans="2:6">
      <c r="B39" s="5" t="s">
        <v>227</v>
      </c>
      <c r="C39" s="9" t="s">
        <v>78</v>
      </c>
      <c r="D39" s="15" t="e">
        <f>D15-D35</f>
        <v>#DIV/0!</v>
      </c>
      <c r="E39" s="16" t="e">
        <f>E15-E35</f>
        <v>#DIV/0!</v>
      </c>
      <c r="F39" s="16" t="e">
        <f>F15-F35</f>
        <v>#DIV/0!</v>
      </c>
    </row>
    <row r="40" spans="2:6">
      <c r="B40" s="5" t="s">
        <v>2</v>
      </c>
      <c r="C40" s="9" t="s">
        <v>79</v>
      </c>
      <c r="D40" s="15" t="e">
        <f>D39+D28</f>
        <v>#DIV/0!</v>
      </c>
      <c r="E40" s="16" t="e">
        <f>E39+E28</f>
        <v>#DIV/0!</v>
      </c>
      <c r="F40" s="16" t="e">
        <f>F39+F28</f>
        <v>#DIV/0!</v>
      </c>
    </row>
    <row r="42" spans="2:6">
      <c r="B42" s="553" t="s">
        <v>524</v>
      </c>
      <c r="C42" s="9"/>
      <c r="D42" s="551" t="e">
        <f>F35</f>
        <v>#DIV/0!</v>
      </c>
      <c r="E42" s="551" t="s">
        <v>525</v>
      </c>
      <c r="F42" s="14"/>
    </row>
    <row r="43" spans="2:6">
      <c r="B43" s="569" t="s">
        <v>526</v>
      </c>
    </row>
  </sheetData>
  <sheetCalcPr fullCalcOnLoad="1"/>
  <sheetProtection sheet="1" objects="1" scenarios="1"/>
  <phoneticPr fontId="116" type="noConversion"/>
  <pageMargins left="0.75" right="0.75" top="1" bottom="1" header="0.5" footer="0.5"/>
  <headerFooter alignWithMargins="0">
    <oddFooter>&amp;L&amp;A&amp;R&amp;D</oddFooter>
  </headerFooter>
  <ignoredErrors>
    <ignoredError sqref="D4" unlockedFormula="1"/>
  </ignoredErrors>
  <drawing r:id="rId1"/>
  <extLst>
    <ext xmlns:mx="http://schemas.microsoft.com/office/mac/excel/2008/main" uri="http://schemas.microsoft.com/office/mac/excel/2008/main">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theme="3" tint="0.39997558519241921"/>
    <pageSetUpPr fitToPage="1"/>
  </sheetPr>
  <dimension ref="B1:L39"/>
  <sheetViews>
    <sheetView showGridLines="0" showRowColHeaders="0" workbookViewId="0">
      <selection activeCell="D3" sqref="D3"/>
    </sheetView>
  </sheetViews>
  <sheetFormatPr baseColWidth="10" defaultColWidth="8.83203125" defaultRowHeight="12"/>
  <cols>
    <col min="1" max="1" width="5.1640625" style="40" customWidth="1"/>
    <col min="2" max="2" width="30.33203125" style="40" customWidth="1"/>
    <col min="3" max="3" width="7.5" style="40" bestFit="1" customWidth="1"/>
    <col min="4" max="4" width="10.1640625" style="54" bestFit="1" customWidth="1"/>
    <col min="5" max="5" width="8.83203125" style="40"/>
    <col min="6" max="6" width="11.6640625" style="40" customWidth="1"/>
    <col min="7" max="7" width="8.83203125" style="40"/>
    <col min="8" max="8" width="7.6640625" style="40" customWidth="1"/>
    <col min="9" max="10" width="8.5" style="40" customWidth="1"/>
    <col min="11" max="258" width="8.83203125" style="40"/>
    <col min="259" max="259" width="34.6640625" style="40" customWidth="1"/>
    <col min="260" max="260" width="7.5" style="40" bestFit="1" customWidth="1"/>
    <col min="261" max="261" width="9.5" style="40" bestFit="1" customWidth="1"/>
    <col min="262" max="262" width="8.83203125" style="40"/>
    <col min="263" max="263" width="11.6640625" style="40" customWidth="1"/>
    <col min="264" max="264" width="8.83203125" style="40"/>
    <col min="265" max="266" width="6.6640625" style="40" bestFit="1" customWidth="1"/>
    <col min="267" max="514" width="8.83203125" style="40"/>
    <col min="515" max="515" width="34.6640625" style="40" customWidth="1"/>
    <col min="516" max="516" width="7.5" style="40" bestFit="1" customWidth="1"/>
    <col min="517" max="517" width="9.5" style="40" bestFit="1" customWidth="1"/>
    <col min="518" max="518" width="8.83203125" style="40"/>
    <col min="519" max="519" width="11.6640625" style="40" customWidth="1"/>
    <col min="520" max="520" width="8.83203125" style="40"/>
    <col min="521" max="522" width="6.6640625" style="40" bestFit="1" customWidth="1"/>
    <col min="523" max="770" width="8.83203125" style="40"/>
    <col min="771" max="771" width="34.6640625" style="40" customWidth="1"/>
    <col min="772" max="772" width="7.5" style="40" bestFit="1" customWidth="1"/>
    <col min="773" max="773" width="9.5" style="40" bestFit="1" customWidth="1"/>
    <col min="774" max="774" width="8.83203125" style="40"/>
    <col min="775" max="775" width="11.6640625" style="40" customWidth="1"/>
    <col min="776" max="776" width="8.83203125" style="40"/>
    <col min="777" max="778" width="6.6640625" style="40" bestFit="1" customWidth="1"/>
    <col min="779" max="1026" width="8.83203125" style="40"/>
    <col min="1027" max="1027" width="34.6640625" style="40" customWidth="1"/>
    <col min="1028" max="1028" width="7.5" style="40" bestFit="1" customWidth="1"/>
    <col min="1029" max="1029" width="9.5" style="40" bestFit="1" customWidth="1"/>
    <col min="1030" max="1030" width="8.83203125" style="40"/>
    <col min="1031" max="1031" width="11.6640625" style="40" customWidth="1"/>
    <col min="1032" max="1032" width="8.83203125" style="40"/>
    <col min="1033" max="1034" width="6.6640625" style="40" bestFit="1" customWidth="1"/>
    <col min="1035" max="1282" width="8.83203125" style="40"/>
    <col min="1283" max="1283" width="34.6640625" style="40" customWidth="1"/>
    <col min="1284" max="1284" width="7.5" style="40" bestFit="1" customWidth="1"/>
    <col min="1285" max="1285" width="9.5" style="40" bestFit="1" customWidth="1"/>
    <col min="1286" max="1286" width="8.83203125" style="40"/>
    <col min="1287" max="1287" width="11.6640625" style="40" customWidth="1"/>
    <col min="1288" max="1288" width="8.83203125" style="40"/>
    <col min="1289" max="1290" width="6.6640625" style="40" bestFit="1" customWidth="1"/>
    <col min="1291" max="1538" width="8.83203125" style="40"/>
    <col min="1539" max="1539" width="34.6640625" style="40" customWidth="1"/>
    <col min="1540" max="1540" width="7.5" style="40" bestFit="1" customWidth="1"/>
    <col min="1541" max="1541" width="9.5" style="40" bestFit="1" customWidth="1"/>
    <col min="1542" max="1542" width="8.83203125" style="40"/>
    <col min="1543" max="1543" width="11.6640625" style="40" customWidth="1"/>
    <col min="1544" max="1544" width="8.83203125" style="40"/>
    <col min="1545" max="1546" width="6.6640625" style="40" bestFit="1" customWidth="1"/>
    <col min="1547" max="1794" width="8.83203125" style="40"/>
    <col min="1795" max="1795" width="34.6640625" style="40" customWidth="1"/>
    <col min="1796" max="1796" width="7.5" style="40" bestFit="1" customWidth="1"/>
    <col min="1797" max="1797" width="9.5" style="40" bestFit="1" customWidth="1"/>
    <col min="1798" max="1798" width="8.83203125" style="40"/>
    <col min="1799" max="1799" width="11.6640625" style="40" customWidth="1"/>
    <col min="1800" max="1800" width="8.83203125" style="40"/>
    <col min="1801" max="1802" width="6.6640625" style="40" bestFit="1" customWidth="1"/>
    <col min="1803" max="2050" width="8.83203125" style="40"/>
    <col min="2051" max="2051" width="34.6640625" style="40" customWidth="1"/>
    <col min="2052" max="2052" width="7.5" style="40" bestFit="1" customWidth="1"/>
    <col min="2053" max="2053" width="9.5" style="40" bestFit="1" customWidth="1"/>
    <col min="2054" max="2054" width="8.83203125" style="40"/>
    <col min="2055" max="2055" width="11.6640625" style="40" customWidth="1"/>
    <col min="2056" max="2056" width="8.83203125" style="40"/>
    <col min="2057" max="2058" width="6.6640625" style="40" bestFit="1" customWidth="1"/>
    <col min="2059" max="2306" width="8.83203125" style="40"/>
    <col min="2307" max="2307" width="34.6640625" style="40" customWidth="1"/>
    <col min="2308" max="2308" width="7.5" style="40" bestFit="1" customWidth="1"/>
    <col min="2309" max="2309" width="9.5" style="40" bestFit="1" customWidth="1"/>
    <col min="2310" max="2310" width="8.83203125" style="40"/>
    <col min="2311" max="2311" width="11.6640625" style="40" customWidth="1"/>
    <col min="2312" max="2312" width="8.83203125" style="40"/>
    <col min="2313" max="2314" width="6.6640625" style="40" bestFit="1" customWidth="1"/>
    <col min="2315" max="2562" width="8.83203125" style="40"/>
    <col min="2563" max="2563" width="34.6640625" style="40" customWidth="1"/>
    <col min="2564" max="2564" width="7.5" style="40" bestFit="1" customWidth="1"/>
    <col min="2565" max="2565" width="9.5" style="40" bestFit="1" customWidth="1"/>
    <col min="2566" max="2566" width="8.83203125" style="40"/>
    <col min="2567" max="2567" width="11.6640625" style="40" customWidth="1"/>
    <col min="2568" max="2568" width="8.83203125" style="40"/>
    <col min="2569" max="2570" width="6.6640625" style="40" bestFit="1" customWidth="1"/>
    <col min="2571" max="2818" width="8.83203125" style="40"/>
    <col min="2819" max="2819" width="34.6640625" style="40" customWidth="1"/>
    <col min="2820" max="2820" width="7.5" style="40" bestFit="1" customWidth="1"/>
    <col min="2821" max="2821" width="9.5" style="40" bestFit="1" customWidth="1"/>
    <col min="2822" max="2822" width="8.83203125" style="40"/>
    <col min="2823" max="2823" width="11.6640625" style="40" customWidth="1"/>
    <col min="2824" max="2824" width="8.83203125" style="40"/>
    <col min="2825" max="2826" width="6.6640625" style="40" bestFit="1" customWidth="1"/>
    <col min="2827" max="3074" width="8.83203125" style="40"/>
    <col min="3075" max="3075" width="34.6640625" style="40" customWidth="1"/>
    <col min="3076" max="3076" width="7.5" style="40" bestFit="1" customWidth="1"/>
    <col min="3077" max="3077" width="9.5" style="40" bestFit="1" customWidth="1"/>
    <col min="3078" max="3078" width="8.83203125" style="40"/>
    <col min="3079" max="3079" width="11.6640625" style="40" customWidth="1"/>
    <col min="3080" max="3080" width="8.83203125" style="40"/>
    <col min="3081" max="3082" width="6.6640625" style="40" bestFit="1" customWidth="1"/>
    <col min="3083" max="3330" width="8.83203125" style="40"/>
    <col min="3331" max="3331" width="34.6640625" style="40" customWidth="1"/>
    <col min="3332" max="3332" width="7.5" style="40" bestFit="1" customWidth="1"/>
    <col min="3333" max="3333" width="9.5" style="40" bestFit="1" customWidth="1"/>
    <col min="3334" max="3334" width="8.83203125" style="40"/>
    <col min="3335" max="3335" width="11.6640625" style="40" customWidth="1"/>
    <col min="3336" max="3336" width="8.83203125" style="40"/>
    <col min="3337" max="3338" width="6.6640625" style="40" bestFit="1" customWidth="1"/>
    <col min="3339" max="3586" width="8.83203125" style="40"/>
    <col min="3587" max="3587" width="34.6640625" style="40" customWidth="1"/>
    <col min="3588" max="3588" width="7.5" style="40" bestFit="1" customWidth="1"/>
    <col min="3589" max="3589" width="9.5" style="40" bestFit="1" customWidth="1"/>
    <col min="3590" max="3590" width="8.83203125" style="40"/>
    <col min="3591" max="3591" width="11.6640625" style="40" customWidth="1"/>
    <col min="3592" max="3592" width="8.83203125" style="40"/>
    <col min="3593" max="3594" width="6.6640625" style="40" bestFit="1" customWidth="1"/>
    <col min="3595" max="3842" width="8.83203125" style="40"/>
    <col min="3843" max="3843" width="34.6640625" style="40" customWidth="1"/>
    <col min="3844" max="3844" width="7.5" style="40" bestFit="1" customWidth="1"/>
    <col min="3845" max="3845" width="9.5" style="40" bestFit="1" customWidth="1"/>
    <col min="3846" max="3846" width="8.83203125" style="40"/>
    <col min="3847" max="3847" width="11.6640625" style="40" customWidth="1"/>
    <col min="3848" max="3848" width="8.83203125" style="40"/>
    <col min="3849" max="3850" width="6.6640625" style="40" bestFit="1" customWidth="1"/>
    <col min="3851" max="4098" width="8.83203125" style="40"/>
    <col min="4099" max="4099" width="34.6640625" style="40" customWidth="1"/>
    <col min="4100" max="4100" width="7.5" style="40" bestFit="1" customWidth="1"/>
    <col min="4101" max="4101" width="9.5" style="40" bestFit="1" customWidth="1"/>
    <col min="4102" max="4102" width="8.83203125" style="40"/>
    <col min="4103" max="4103" width="11.6640625" style="40" customWidth="1"/>
    <col min="4104" max="4104" width="8.83203125" style="40"/>
    <col min="4105" max="4106" width="6.6640625" style="40" bestFit="1" customWidth="1"/>
    <col min="4107" max="4354" width="8.83203125" style="40"/>
    <col min="4355" max="4355" width="34.6640625" style="40" customWidth="1"/>
    <col min="4356" max="4356" width="7.5" style="40" bestFit="1" customWidth="1"/>
    <col min="4357" max="4357" width="9.5" style="40" bestFit="1" customWidth="1"/>
    <col min="4358" max="4358" width="8.83203125" style="40"/>
    <col min="4359" max="4359" width="11.6640625" style="40" customWidth="1"/>
    <col min="4360" max="4360" width="8.83203125" style="40"/>
    <col min="4361" max="4362" width="6.6640625" style="40" bestFit="1" customWidth="1"/>
    <col min="4363" max="4610" width="8.83203125" style="40"/>
    <col min="4611" max="4611" width="34.6640625" style="40" customWidth="1"/>
    <col min="4612" max="4612" width="7.5" style="40" bestFit="1" customWidth="1"/>
    <col min="4613" max="4613" width="9.5" style="40" bestFit="1" customWidth="1"/>
    <col min="4614" max="4614" width="8.83203125" style="40"/>
    <col min="4615" max="4615" width="11.6640625" style="40" customWidth="1"/>
    <col min="4616" max="4616" width="8.83203125" style="40"/>
    <col min="4617" max="4618" width="6.6640625" style="40" bestFit="1" customWidth="1"/>
    <col min="4619" max="4866" width="8.83203125" style="40"/>
    <col min="4867" max="4867" width="34.6640625" style="40" customWidth="1"/>
    <col min="4868" max="4868" width="7.5" style="40" bestFit="1" customWidth="1"/>
    <col min="4869" max="4869" width="9.5" style="40" bestFit="1" customWidth="1"/>
    <col min="4870" max="4870" width="8.83203125" style="40"/>
    <col min="4871" max="4871" width="11.6640625" style="40" customWidth="1"/>
    <col min="4872" max="4872" width="8.83203125" style="40"/>
    <col min="4873" max="4874" width="6.6640625" style="40" bestFit="1" customWidth="1"/>
    <col min="4875" max="5122" width="8.83203125" style="40"/>
    <col min="5123" max="5123" width="34.6640625" style="40" customWidth="1"/>
    <col min="5124" max="5124" width="7.5" style="40" bestFit="1" customWidth="1"/>
    <col min="5125" max="5125" width="9.5" style="40" bestFit="1" customWidth="1"/>
    <col min="5126" max="5126" width="8.83203125" style="40"/>
    <col min="5127" max="5127" width="11.6640625" style="40" customWidth="1"/>
    <col min="5128" max="5128" width="8.83203125" style="40"/>
    <col min="5129" max="5130" width="6.6640625" style="40" bestFit="1" customWidth="1"/>
    <col min="5131" max="5378" width="8.83203125" style="40"/>
    <col min="5379" max="5379" width="34.6640625" style="40" customWidth="1"/>
    <col min="5380" max="5380" width="7.5" style="40" bestFit="1" customWidth="1"/>
    <col min="5381" max="5381" width="9.5" style="40" bestFit="1" customWidth="1"/>
    <col min="5382" max="5382" width="8.83203125" style="40"/>
    <col min="5383" max="5383" width="11.6640625" style="40" customWidth="1"/>
    <col min="5384" max="5384" width="8.83203125" style="40"/>
    <col min="5385" max="5386" width="6.6640625" style="40" bestFit="1" customWidth="1"/>
    <col min="5387" max="5634" width="8.83203125" style="40"/>
    <col min="5635" max="5635" width="34.6640625" style="40" customWidth="1"/>
    <col min="5636" max="5636" width="7.5" style="40" bestFit="1" customWidth="1"/>
    <col min="5637" max="5637" width="9.5" style="40" bestFit="1" customWidth="1"/>
    <col min="5638" max="5638" width="8.83203125" style="40"/>
    <col min="5639" max="5639" width="11.6640625" style="40" customWidth="1"/>
    <col min="5640" max="5640" width="8.83203125" style="40"/>
    <col min="5641" max="5642" width="6.6640625" style="40" bestFit="1" customWidth="1"/>
    <col min="5643" max="5890" width="8.83203125" style="40"/>
    <col min="5891" max="5891" width="34.6640625" style="40" customWidth="1"/>
    <col min="5892" max="5892" width="7.5" style="40" bestFit="1" customWidth="1"/>
    <col min="5893" max="5893" width="9.5" style="40" bestFit="1" customWidth="1"/>
    <col min="5894" max="5894" width="8.83203125" style="40"/>
    <col min="5895" max="5895" width="11.6640625" style="40" customWidth="1"/>
    <col min="5896" max="5896" width="8.83203125" style="40"/>
    <col min="5897" max="5898" width="6.6640625" style="40" bestFit="1" customWidth="1"/>
    <col min="5899" max="6146" width="8.83203125" style="40"/>
    <col min="6147" max="6147" width="34.6640625" style="40" customWidth="1"/>
    <col min="6148" max="6148" width="7.5" style="40" bestFit="1" customWidth="1"/>
    <col min="6149" max="6149" width="9.5" style="40" bestFit="1" customWidth="1"/>
    <col min="6150" max="6150" width="8.83203125" style="40"/>
    <col min="6151" max="6151" width="11.6640625" style="40" customWidth="1"/>
    <col min="6152" max="6152" width="8.83203125" style="40"/>
    <col min="6153" max="6154" width="6.6640625" style="40" bestFit="1" customWidth="1"/>
    <col min="6155" max="6402" width="8.83203125" style="40"/>
    <col min="6403" max="6403" width="34.6640625" style="40" customWidth="1"/>
    <col min="6404" max="6404" width="7.5" style="40" bestFit="1" customWidth="1"/>
    <col min="6405" max="6405" width="9.5" style="40" bestFit="1" customWidth="1"/>
    <col min="6406" max="6406" width="8.83203125" style="40"/>
    <col min="6407" max="6407" width="11.6640625" style="40" customWidth="1"/>
    <col min="6408" max="6408" width="8.83203125" style="40"/>
    <col min="6409" max="6410" width="6.6640625" style="40" bestFit="1" customWidth="1"/>
    <col min="6411" max="6658" width="8.83203125" style="40"/>
    <col min="6659" max="6659" width="34.6640625" style="40" customWidth="1"/>
    <col min="6660" max="6660" width="7.5" style="40" bestFit="1" customWidth="1"/>
    <col min="6661" max="6661" width="9.5" style="40" bestFit="1" customWidth="1"/>
    <col min="6662" max="6662" width="8.83203125" style="40"/>
    <col min="6663" max="6663" width="11.6640625" style="40" customWidth="1"/>
    <col min="6664" max="6664" width="8.83203125" style="40"/>
    <col min="6665" max="6666" width="6.6640625" style="40" bestFit="1" customWidth="1"/>
    <col min="6667" max="6914" width="8.83203125" style="40"/>
    <col min="6915" max="6915" width="34.6640625" style="40" customWidth="1"/>
    <col min="6916" max="6916" width="7.5" style="40" bestFit="1" customWidth="1"/>
    <col min="6917" max="6917" width="9.5" style="40" bestFit="1" customWidth="1"/>
    <col min="6918" max="6918" width="8.83203125" style="40"/>
    <col min="6919" max="6919" width="11.6640625" style="40" customWidth="1"/>
    <col min="6920" max="6920" width="8.83203125" style="40"/>
    <col min="6921" max="6922" width="6.6640625" style="40" bestFit="1" customWidth="1"/>
    <col min="6923" max="7170" width="8.83203125" style="40"/>
    <col min="7171" max="7171" width="34.6640625" style="40" customWidth="1"/>
    <col min="7172" max="7172" width="7.5" style="40" bestFit="1" customWidth="1"/>
    <col min="7173" max="7173" width="9.5" style="40" bestFit="1" customWidth="1"/>
    <col min="7174" max="7174" width="8.83203125" style="40"/>
    <col min="7175" max="7175" width="11.6640625" style="40" customWidth="1"/>
    <col min="7176" max="7176" width="8.83203125" style="40"/>
    <col min="7177" max="7178" width="6.6640625" style="40" bestFit="1" customWidth="1"/>
    <col min="7179" max="7426" width="8.83203125" style="40"/>
    <col min="7427" max="7427" width="34.6640625" style="40" customWidth="1"/>
    <col min="7428" max="7428" width="7.5" style="40" bestFit="1" customWidth="1"/>
    <col min="7429" max="7429" width="9.5" style="40" bestFit="1" customWidth="1"/>
    <col min="7430" max="7430" width="8.83203125" style="40"/>
    <col min="7431" max="7431" width="11.6640625" style="40" customWidth="1"/>
    <col min="7432" max="7432" width="8.83203125" style="40"/>
    <col min="7433" max="7434" width="6.6640625" style="40" bestFit="1" customWidth="1"/>
    <col min="7435" max="7682" width="8.83203125" style="40"/>
    <col min="7683" max="7683" width="34.6640625" style="40" customWidth="1"/>
    <col min="7684" max="7684" width="7.5" style="40" bestFit="1" customWidth="1"/>
    <col min="7685" max="7685" width="9.5" style="40" bestFit="1" customWidth="1"/>
    <col min="7686" max="7686" width="8.83203125" style="40"/>
    <col min="7687" max="7687" width="11.6640625" style="40" customWidth="1"/>
    <col min="7688" max="7688" width="8.83203125" style="40"/>
    <col min="7689" max="7690" width="6.6640625" style="40" bestFit="1" customWidth="1"/>
    <col min="7691" max="7938" width="8.83203125" style="40"/>
    <col min="7939" max="7939" width="34.6640625" style="40" customWidth="1"/>
    <col min="7940" max="7940" width="7.5" style="40" bestFit="1" customWidth="1"/>
    <col min="7941" max="7941" width="9.5" style="40" bestFit="1" customWidth="1"/>
    <col min="7942" max="7942" width="8.83203125" style="40"/>
    <col min="7943" max="7943" width="11.6640625" style="40" customWidth="1"/>
    <col min="7944" max="7944" width="8.83203125" style="40"/>
    <col min="7945" max="7946" width="6.6640625" style="40" bestFit="1" customWidth="1"/>
    <col min="7947" max="8194" width="8.83203125" style="40"/>
    <col min="8195" max="8195" width="34.6640625" style="40" customWidth="1"/>
    <col min="8196" max="8196" width="7.5" style="40" bestFit="1" customWidth="1"/>
    <col min="8197" max="8197" width="9.5" style="40" bestFit="1" customWidth="1"/>
    <col min="8198" max="8198" width="8.83203125" style="40"/>
    <col min="8199" max="8199" width="11.6640625" style="40" customWidth="1"/>
    <col min="8200" max="8200" width="8.83203125" style="40"/>
    <col min="8201" max="8202" width="6.6640625" style="40" bestFit="1" customWidth="1"/>
    <col min="8203" max="8450" width="8.83203125" style="40"/>
    <col min="8451" max="8451" width="34.6640625" style="40" customWidth="1"/>
    <col min="8452" max="8452" width="7.5" style="40" bestFit="1" customWidth="1"/>
    <col min="8453" max="8453" width="9.5" style="40" bestFit="1" customWidth="1"/>
    <col min="8454" max="8454" width="8.83203125" style="40"/>
    <col min="8455" max="8455" width="11.6640625" style="40" customWidth="1"/>
    <col min="8456" max="8456" width="8.83203125" style="40"/>
    <col min="8457" max="8458" width="6.6640625" style="40" bestFit="1" customWidth="1"/>
    <col min="8459" max="8706" width="8.83203125" style="40"/>
    <col min="8707" max="8707" width="34.6640625" style="40" customWidth="1"/>
    <col min="8708" max="8708" width="7.5" style="40" bestFit="1" customWidth="1"/>
    <col min="8709" max="8709" width="9.5" style="40" bestFit="1" customWidth="1"/>
    <col min="8710" max="8710" width="8.83203125" style="40"/>
    <col min="8711" max="8711" width="11.6640625" style="40" customWidth="1"/>
    <col min="8712" max="8712" width="8.83203125" style="40"/>
    <col min="8713" max="8714" width="6.6640625" style="40" bestFit="1" customWidth="1"/>
    <col min="8715" max="8962" width="8.83203125" style="40"/>
    <col min="8963" max="8963" width="34.6640625" style="40" customWidth="1"/>
    <col min="8964" max="8964" width="7.5" style="40" bestFit="1" customWidth="1"/>
    <col min="8965" max="8965" width="9.5" style="40" bestFit="1" customWidth="1"/>
    <col min="8966" max="8966" width="8.83203125" style="40"/>
    <col min="8967" max="8967" width="11.6640625" style="40" customWidth="1"/>
    <col min="8968" max="8968" width="8.83203125" style="40"/>
    <col min="8969" max="8970" width="6.6640625" style="40" bestFit="1" customWidth="1"/>
    <col min="8971" max="9218" width="8.83203125" style="40"/>
    <col min="9219" max="9219" width="34.6640625" style="40" customWidth="1"/>
    <col min="9220" max="9220" width="7.5" style="40" bestFit="1" customWidth="1"/>
    <col min="9221" max="9221" width="9.5" style="40" bestFit="1" customWidth="1"/>
    <col min="9222" max="9222" width="8.83203125" style="40"/>
    <col min="9223" max="9223" width="11.6640625" style="40" customWidth="1"/>
    <col min="9224" max="9224" width="8.83203125" style="40"/>
    <col min="9225" max="9226" width="6.6640625" style="40" bestFit="1" customWidth="1"/>
    <col min="9227" max="9474" width="8.83203125" style="40"/>
    <col min="9475" max="9475" width="34.6640625" style="40" customWidth="1"/>
    <col min="9476" max="9476" width="7.5" style="40" bestFit="1" customWidth="1"/>
    <col min="9477" max="9477" width="9.5" style="40" bestFit="1" customWidth="1"/>
    <col min="9478" max="9478" width="8.83203125" style="40"/>
    <col min="9479" max="9479" width="11.6640625" style="40" customWidth="1"/>
    <col min="9480" max="9480" width="8.83203125" style="40"/>
    <col min="9481" max="9482" width="6.6640625" style="40" bestFit="1" customWidth="1"/>
    <col min="9483" max="9730" width="8.83203125" style="40"/>
    <col min="9731" max="9731" width="34.6640625" style="40" customWidth="1"/>
    <col min="9732" max="9732" width="7.5" style="40" bestFit="1" customWidth="1"/>
    <col min="9733" max="9733" width="9.5" style="40" bestFit="1" customWidth="1"/>
    <col min="9734" max="9734" width="8.83203125" style="40"/>
    <col min="9735" max="9735" width="11.6640625" style="40" customWidth="1"/>
    <col min="9736" max="9736" width="8.83203125" style="40"/>
    <col min="9737" max="9738" width="6.6640625" style="40" bestFit="1" customWidth="1"/>
    <col min="9739" max="9986" width="8.83203125" style="40"/>
    <col min="9987" max="9987" width="34.6640625" style="40" customWidth="1"/>
    <col min="9988" max="9988" width="7.5" style="40" bestFit="1" customWidth="1"/>
    <col min="9989" max="9989" width="9.5" style="40" bestFit="1" customWidth="1"/>
    <col min="9990" max="9990" width="8.83203125" style="40"/>
    <col min="9991" max="9991" width="11.6640625" style="40" customWidth="1"/>
    <col min="9992" max="9992" width="8.83203125" style="40"/>
    <col min="9993" max="9994" width="6.6640625" style="40" bestFit="1" customWidth="1"/>
    <col min="9995" max="10242" width="8.83203125" style="40"/>
    <col min="10243" max="10243" width="34.6640625" style="40" customWidth="1"/>
    <col min="10244" max="10244" width="7.5" style="40" bestFit="1" customWidth="1"/>
    <col min="10245" max="10245" width="9.5" style="40" bestFit="1" customWidth="1"/>
    <col min="10246" max="10246" width="8.83203125" style="40"/>
    <col min="10247" max="10247" width="11.6640625" style="40" customWidth="1"/>
    <col min="10248" max="10248" width="8.83203125" style="40"/>
    <col min="10249" max="10250" width="6.6640625" style="40" bestFit="1" customWidth="1"/>
    <col min="10251" max="10498" width="8.83203125" style="40"/>
    <col min="10499" max="10499" width="34.6640625" style="40" customWidth="1"/>
    <col min="10500" max="10500" width="7.5" style="40" bestFit="1" customWidth="1"/>
    <col min="10501" max="10501" width="9.5" style="40" bestFit="1" customWidth="1"/>
    <col min="10502" max="10502" width="8.83203125" style="40"/>
    <col min="10503" max="10503" width="11.6640625" style="40" customWidth="1"/>
    <col min="10504" max="10504" width="8.83203125" style="40"/>
    <col min="10505" max="10506" width="6.6640625" style="40" bestFit="1" customWidth="1"/>
    <col min="10507" max="10754" width="8.83203125" style="40"/>
    <col min="10755" max="10755" width="34.6640625" style="40" customWidth="1"/>
    <col min="10756" max="10756" width="7.5" style="40" bestFit="1" customWidth="1"/>
    <col min="10757" max="10757" width="9.5" style="40" bestFit="1" customWidth="1"/>
    <col min="10758" max="10758" width="8.83203125" style="40"/>
    <col min="10759" max="10759" width="11.6640625" style="40" customWidth="1"/>
    <col min="10760" max="10760" width="8.83203125" style="40"/>
    <col min="10761" max="10762" width="6.6640625" style="40" bestFit="1" customWidth="1"/>
    <col min="10763" max="11010" width="8.83203125" style="40"/>
    <col min="11011" max="11011" width="34.6640625" style="40" customWidth="1"/>
    <col min="11012" max="11012" width="7.5" style="40" bestFit="1" customWidth="1"/>
    <col min="11013" max="11013" width="9.5" style="40" bestFit="1" customWidth="1"/>
    <col min="11014" max="11014" width="8.83203125" style="40"/>
    <col min="11015" max="11015" width="11.6640625" style="40" customWidth="1"/>
    <col min="11016" max="11016" width="8.83203125" style="40"/>
    <col min="11017" max="11018" width="6.6640625" style="40" bestFit="1" customWidth="1"/>
    <col min="11019" max="11266" width="8.83203125" style="40"/>
    <col min="11267" max="11267" width="34.6640625" style="40" customWidth="1"/>
    <col min="11268" max="11268" width="7.5" style="40" bestFit="1" customWidth="1"/>
    <col min="11269" max="11269" width="9.5" style="40" bestFit="1" customWidth="1"/>
    <col min="11270" max="11270" width="8.83203125" style="40"/>
    <col min="11271" max="11271" width="11.6640625" style="40" customWidth="1"/>
    <col min="11272" max="11272" width="8.83203125" style="40"/>
    <col min="11273" max="11274" width="6.6640625" style="40" bestFit="1" customWidth="1"/>
    <col min="11275" max="11522" width="8.83203125" style="40"/>
    <col min="11523" max="11523" width="34.6640625" style="40" customWidth="1"/>
    <col min="11524" max="11524" width="7.5" style="40" bestFit="1" customWidth="1"/>
    <col min="11525" max="11525" width="9.5" style="40" bestFit="1" customWidth="1"/>
    <col min="11526" max="11526" width="8.83203125" style="40"/>
    <col min="11527" max="11527" width="11.6640625" style="40" customWidth="1"/>
    <col min="11528" max="11528" width="8.83203125" style="40"/>
    <col min="11529" max="11530" width="6.6640625" style="40" bestFit="1" customWidth="1"/>
    <col min="11531" max="11778" width="8.83203125" style="40"/>
    <col min="11779" max="11779" width="34.6640625" style="40" customWidth="1"/>
    <col min="11780" max="11780" width="7.5" style="40" bestFit="1" customWidth="1"/>
    <col min="11781" max="11781" width="9.5" style="40" bestFit="1" customWidth="1"/>
    <col min="11782" max="11782" width="8.83203125" style="40"/>
    <col min="11783" max="11783" width="11.6640625" style="40" customWidth="1"/>
    <col min="11784" max="11784" width="8.83203125" style="40"/>
    <col min="11785" max="11786" width="6.6640625" style="40" bestFit="1" customWidth="1"/>
    <col min="11787" max="12034" width="8.83203125" style="40"/>
    <col min="12035" max="12035" width="34.6640625" style="40" customWidth="1"/>
    <col min="12036" max="12036" width="7.5" style="40" bestFit="1" customWidth="1"/>
    <col min="12037" max="12037" width="9.5" style="40" bestFit="1" customWidth="1"/>
    <col min="12038" max="12038" width="8.83203125" style="40"/>
    <col min="12039" max="12039" width="11.6640625" style="40" customWidth="1"/>
    <col min="12040" max="12040" width="8.83203125" style="40"/>
    <col min="12041" max="12042" width="6.6640625" style="40" bestFit="1" customWidth="1"/>
    <col min="12043" max="12290" width="8.83203125" style="40"/>
    <col min="12291" max="12291" width="34.6640625" style="40" customWidth="1"/>
    <col min="12292" max="12292" width="7.5" style="40" bestFit="1" customWidth="1"/>
    <col min="12293" max="12293" width="9.5" style="40" bestFit="1" customWidth="1"/>
    <col min="12294" max="12294" width="8.83203125" style="40"/>
    <col min="12295" max="12295" width="11.6640625" style="40" customWidth="1"/>
    <col min="12296" max="12296" width="8.83203125" style="40"/>
    <col min="12297" max="12298" width="6.6640625" style="40" bestFit="1" customWidth="1"/>
    <col min="12299" max="12546" width="8.83203125" style="40"/>
    <col min="12547" max="12547" width="34.6640625" style="40" customWidth="1"/>
    <col min="12548" max="12548" width="7.5" style="40" bestFit="1" customWidth="1"/>
    <col min="12549" max="12549" width="9.5" style="40" bestFit="1" customWidth="1"/>
    <col min="12550" max="12550" width="8.83203125" style="40"/>
    <col min="12551" max="12551" width="11.6640625" style="40" customWidth="1"/>
    <col min="12552" max="12552" width="8.83203125" style="40"/>
    <col min="12553" max="12554" width="6.6640625" style="40" bestFit="1" customWidth="1"/>
    <col min="12555" max="12802" width="8.83203125" style="40"/>
    <col min="12803" max="12803" width="34.6640625" style="40" customWidth="1"/>
    <col min="12804" max="12804" width="7.5" style="40" bestFit="1" customWidth="1"/>
    <col min="12805" max="12805" width="9.5" style="40" bestFit="1" customWidth="1"/>
    <col min="12806" max="12806" width="8.83203125" style="40"/>
    <col min="12807" max="12807" width="11.6640625" style="40" customWidth="1"/>
    <col min="12808" max="12808" width="8.83203125" style="40"/>
    <col min="12809" max="12810" width="6.6640625" style="40" bestFit="1" customWidth="1"/>
    <col min="12811" max="13058" width="8.83203125" style="40"/>
    <col min="13059" max="13059" width="34.6640625" style="40" customWidth="1"/>
    <col min="13060" max="13060" width="7.5" style="40" bestFit="1" customWidth="1"/>
    <col min="13061" max="13061" width="9.5" style="40" bestFit="1" customWidth="1"/>
    <col min="13062" max="13062" width="8.83203125" style="40"/>
    <col min="13063" max="13063" width="11.6640625" style="40" customWidth="1"/>
    <col min="13064" max="13064" width="8.83203125" style="40"/>
    <col min="13065" max="13066" width="6.6640625" style="40" bestFit="1" customWidth="1"/>
    <col min="13067" max="13314" width="8.83203125" style="40"/>
    <col min="13315" max="13315" width="34.6640625" style="40" customWidth="1"/>
    <col min="13316" max="13316" width="7.5" style="40" bestFit="1" customWidth="1"/>
    <col min="13317" max="13317" width="9.5" style="40" bestFit="1" customWidth="1"/>
    <col min="13318" max="13318" width="8.83203125" style="40"/>
    <col min="13319" max="13319" width="11.6640625" style="40" customWidth="1"/>
    <col min="13320" max="13320" width="8.83203125" style="40"/>
    <col min="13321" max="13322" width="6.6640625" style="40" bestFit="1" customWidth="1"/>
    <col min="13323" max="13570" width="8.83203125" style="40"/>
    <col min="13571" max="13571" width="34.6640625" style="40" customWidth="1"/>
    <col min="13572" max="13572" width="7.5" style="40" bestFit="1" customWidth="1"/>
    <col min="13573" max="13573" width="9.5" style="40" bestFit="1" customWidth="1"/>
    <col min="13574" max="13574" width="8.83203125" style="40"/>
    <col min="13575" max="13575" width="11.6640625" style="40" customWidth="1"/>
    <col min="13576" max="13576" width="8.83203125" style="40"/>
    <col min="13577" max="13578" width="6.6640625" style="40" bestFit="1" customWidth="1"/>
    <col min="13579" max="13826" width="8.83203125" style="40"/>
    <col min="13827" max="13827" width="34.6640625" style="40" customWidth="1"/>
    <col min="13828" max="13828" width="7.5" style="40" bestFit="1" customWidth="1"/>
    <col min="13829" max="13829" width="9.5" style="40" bestFit="1" customWidth="1"/>
    <col min="13830" max="13830" width="8.83203125" style="40"/>
    <col min="13831" max="13831" width="11.6640625" style="40" customWidth="1"/>
    <col min="13832" max="13832" width="8.83203125" style="40"/>
    <col min="13833" max="13834" width="6.6640625" style="40" bestFit="1" customWidth="1"/>
    <col min="13835" max="14082" width="8.83203125" style="40"/>
    <col min="14083" max="14083" width="34.6640625" style="40" customWidth="1"/>
    <col min="14084" max="14084" width="7.5" style="40" bestFit="1" customWidth="1"/>
    <col min="14085" max="14085" width="9.5" style="40" bestFit="1" customWidth="1"/>
    <col min="14086" max="14086" width="8.83203125" style="40"/>
    <col min="14087" max="14087" width="11.6640625" style="40" customWidth="1"/>
    <col min="14088" max="14088" width="8.83203125" style="40"/>
    <col min="14089" max="14090" width="6.6640625" style="40" bestFit="1" customWidth="1"/>
    <col min="14091" max="14338" width="8.83203125" style="40"/>
    <col min="14339" max="14339" width="34.6640625" style="40" customWidth="1"/>
    <col min="14340" max="14340" width="7.5" style="40" bestFit="1" customWidth="1"/>
    <col min="14341" max="14341" width="9.5" style="40" bestFit="1" customWidth="1"/>
    <col min="14342" max="14342" width="8.83203125" style="40"/>
    <col min="14343" max="14343" width="11.6640625" style="40" customWidth="1"/>
    <col min="14344" max="14344" width="8.83203125" style="40"/>
    <col min="14345" max="14346" width="6.6640625" style="40" bestFit="1" customWidth="1"/>
    <col min="14347" max="14594" width="8.83203125" style="40"/>
    <col min="14595" max="14595" width="34.6640625" style="40" customWidth="1"/>
    <col min="14596" max="14596" width="7.5" style="40" bestFit="1" customWidth="1"/>
    <col min="14597" max="14597" width="9.5" style="40" bestFit="1" customWidth="1"/>
    <col min="14598" max="14598" width="8.83203125" style="40"/>
    <col min="14599" max="14599" width="11.6640625" style="40" customWidth="1"/>
    <col min="14600" max="14600" width="8.83203125" style="40"/>
    <col min="14601" max="14602" width="6.6640625" style="40" bestFit="1" customWidth="1"/>
    <col min="14603" max="14850" width="8.83203125" style="40"/>
    <col min="14851" max="14851" width="34.6640625" style="40" customWidth="1"/>
    <col min="14852" max="14852" width="7.5" style="40" bestFit="1" customWidth="1"/>
    <col min="14853" max="14853" width="9.5" style="40" bestFit="1" customWidth="1"/>
    <col min="14854" max="14854" width="8.83203125" style="40"/>
    <col min="14855" max="14855" width="11.6640625" style="40" customWidth="1"/>
    <col min="14856" max="14856" width="8.83203125" style="40"/>
    <col min="14857" max="14858" width="6.6640625" style="40" bestFit="1" customWidth="1"/>
    <col min="14859" max="15106" width="8.83203125" style="40"/>
    <col min="15107" max="15107" width="34.6640625" style="40" customWidth="1"/>
    <col min="15108" max="15108" width="7.5" style="40" bestFit="1" customWidth="1"/>
    <col min="15109" max="15109" width="9.5" style="40" bestFit="1" customWidth="1"/>
    <col min="15110" max="15110" width="8.83203125" style="40"/>
    <col min="15111" max="15111" width="11.6640625" style="40" customWidth="1"/>
    <col min="15112" max="15112" width="8.83203125" style="40"/>
    <col min="15113" max="15114" width="6.6640625" style="40" bestFit="1" customWidth="1"/>
    <col min="15115" max="15362" width="8.83203125" style="40"/>
    <col min="15363" max="15363" width="34.6640625" style="40" customWidth="1"/>
    <col min="15364" max="15364" width="7.5" style="40" bestFit="1" customWidth="1"/>
    <col min="15365" max="15365" width="9.5" style="40" bestFit="1" customWidth="1"/>
    <col min="15366" max="15366" width="8.83203125" style="40"/>
    <col min="15367" max="15367" width="11.6640625" style="40" customWidth="1"/>
    <col min="15368" max="15368" width="8.83203125" style="40"/>
    <col min="15369" max="15370" width="6.6640625" style="40" bestFit="1" customWidth="1"/>
    <col min="15371" max="15618" width="8.83203125" style="40"/>
    <col min="15619" max="15619" width="34.6640625" style="40" customWidth="1"/>
    <col min="15620" max="15620" width="7.5" style="40" bestFit="1" customWidth="1"/>
    <col min="15621" max="15621" width="9.5" style="40" bestFit="1" customWidth="1"/>
    <col min="15622" max="15622" width="8.83203125" style="40"/>
    <col min="15623" max="15623" width="11.6640625" style="40" customWidth="1"/>
    <col min="15624" max="15624" width="8.83203125" style="40"/>
    <col min="15625" max="15626" width="6.6640625" style="40" bestFit="1" customWidth="1"/>
    <col min="15627" max="15874" width="8.83203125" style="40"/>
    <col min="15875" max="15875" width="34.6640625" style="40" customWidth="1"/>
    <col min="15876" max="15876" width="7.5" style="40" bestFit="1" customWidth="1"/>
    <col min="15877" max="15877" width="9.5" style="40" bestFit="1" customWidth="1"/>
    <col min="15878" max="15878" width="8.83203125" style="40"/>
    <col min="15879" max="15879" width="11.6640625" style="40" customWidth="1"/>
    <col min="15880" max="15880" width="8.83203125" style="40"/>
    <col min="15881" max="15882" width="6.6640625" style="40" bestFit="1" customWidth="1"/>
    <col min="15883" max="16130" width="8.83203125" style="40"/>
    <col min="16131" max="16131" width="34.6640625" style="40" customWidth="1"/>
    <col min="16132" max="16132" width="7.5" style="40" bestFit="1" customWidth="1"/>
    <col min="16133" max="16133" width="9.5" style="40" bestFit="1" customWidth="1"/>
    <col min="16134" max="16134" width="8.83203125" style="40"/>
    <col min="16135" max="16135" width="11.6640625" style="40" customWidth="1"/>
    <col min="16136" max="16136" width="8.83203125" style="40"/>
    <col min="16137" max="16138" width="6.6640625" style="40" bestFit="1" customWidth="1"/>
    <col min="16139" max="16384" width="8.83203125" style="40"/>
  </cols>
  <sheetData>
    <row r="1" spans="2:12" ht="70.5" customHeight="1">
      <c r="B1" s="59" t="str">
        <f>'About My Ranch'!F19&amp;" FORAGE - COST OF PRODUCTION"</f>
        <v xml:space="preserve"> FORAGE - COST OF PRODUCTION</v>
      </c>
      <c r="C1" s="36"/>
      <c r="E1" s="37"/>
      <c r="G1" s="38"/>
      <c r="H1" s="37"/>
      <c r="I1" s="39"/>
      <c r="J1" s="39"/>
    </row>
    <row r="2" spans="2:12" ht="15.75" customHeight="1">
      <c r="B2" s="59"/>
      <c r="C2" s="36"/>
      <c r="E2" s="37"/>
      <c r="G2" s="38"/>
      <c r="H2" s="37"/>
      <c r="I2" s="39"/>
      <c r="J2" s="39"/>
    </row>
    <row r="3" spans="2:12" ht="13.5" customHeight="1">
      <c r="B3" s="41" t="s">
        <v>621</v>
      </c>
      <c r="C3" s="36"/>
      <c r="D3" s="55">
        <f>'7. Forage_InputForm'!D17</f>
        <v>0</v>
      </c>
      <c r="E3" s="43"/>
      <c r="F3" s="36"/>
      <c r="G3" s="36"/>
      <c r="H3" s="36"/>
      <c r="I3" s="109"/>
      <c r="J3" s="36"/>
      <c r="K3" s="36"/>
      <c r="L3" s="36"/>
    </row>
    <row r="4" spans="2:12" ht="13.5" customHeight="1">
      <c r="B4" s="41" t="s">
        <v>624</v>
      </c>
      <c r="C4" s="36"/>
      <c r="D4" s="55">
        <f>Data!K15</f>
        <v>0</v>
      </c>
      <c r="E4" s="43"/>
      <c r="F4" s="36"/>
      <c r="G4" s="36"/>
      <c r="H4" s="36"/>
      <c r="I4" s="109"/>
      <c r="J4" s="36"/>
      <c r="K4" s="36"/>
      <c r="L4" s="36"/>
    </row>
    <row r="5" spans="2:12" ht="13.5" customHeight="1">
      <c r="B5" s="41" t="s">
        <v>622</v>
      </c>
      <c r="C5" s="36"/>
      <c r="D5" s="55">
        <f>'7. Forage_InputForm'!F17</f>
        <v>0</v>
      </c>
      <c r="E5" s="43"/>
      <c r="F5" s="36"/>
      <c r="G5" s="36"/>
      <c r="H5" s="36"/>
      <c r="I5" s="109"/>
      <c r="J5" s="36"/>
      <c r="K5" s="36"/>
      <c r="L5" s="36"/>
    </row>
    <row r="6" spans="2:12" ht="13.5" customHeight="1">
      <c r="B6" s="41" t="s">
        <v>623</v>
      </c>
      <c r="C6" s="36"/>
      <c r="D6" s="47" t="e">
        <f>'7. Forage_InputForm'!L17/'7. Forage_InputForm'!F17</f>
        <v>#DIV/0!</v>
      </c>
      <c r="E6" s="43"/>
      <c r="F6" s="36"/>
      <c r="G6" s="36"/>
      <c r="H6" s="36"/>
      <c r="I6" s="109"/>
      <c r="J6" s="36"/>
      <c r="K6" s="36"/>
      <c r="L6" s="36"/>
    </row>
    <row r="7" spans="2:12" ht="13.5" customHeight="1">
      <c r="B7" s="41" t="s">
        <v>609</v>
      </c>
      <c r="C7" s="36"/>
      <c r="D7" s="47">
        <f>'7. Forage_InputForm'!T7+'7. Forage_InputForm'!T9+'7. Forage_InputForm'!T11+'7. Forage_InputForm'!T13+'7. Forage_InputForm'!T15</f>
        <v>0</v>
      </c>
      <c r="E7" s="43"/>
      <c r="F7" s="36"/>
      <c r="G7" s="36"/>
      <c r="H7" s="36"/>
      <c r="I7" s="109"/>
      <c r="J7" s="36"/>
      <c r="K7" s="36"/>
      <c r="L7" s="36"/>
    </row>
    <row r="8" spans="2:12" ht="13.5" customHeight="1">
      <c r="B8" s="41"/>
      <c r="C8" s="36"/>
      <c r="D8" s="55"/>
      <c r="E8" s="43"/>
      <c r="F8" s="36"/>
      <c r="G8" s="36"/>
      <c r="H8" s="36"/>
      <c r="I8" s="109"/>
      <c r="J8" s="36"/>
      <c r="K8" s="36"/>
      <c r="L8" s="36"/>
    </row>
    <row r="9" spans="2:12" ht="13.5" customHeight="1">
      <c r="B9" s="41" t="s">
        <v>491</v>
      </c>
      <c r="C9" s="36"/>
      <c r="D9" s="47">
        <f>Data!P15+'7. Forage_InputForm'!T17</f>
        <v>0</v>
      </c>
      <c r="E9" s="43"/>
      <c r="F9" s="36"/>
      <c r="G9" s="36"/>
      <c r="H9" s="36"/>
      <c r="I9" s="109"/>
      <c r="J9" s="36"/>
      <c r="K9" s="36"/>
      <c r="L9" s="36"/>
    </row>
    <row r="10" spans="2:12" ht="13">
      <c r="B10" s="45"/>
      <c r="C10" s="36"/>
      <c r="D10" s="44"/>
      <c r="E10" s="45"/>
      <c r="F10" s="45"/>
      <c r="G10" s="50"/>
      <c r="H10" s="37"/>
      <c r="I10" s="39"/>
      <c r="J10" s="39"/>
      <c r="K10" s="56"/>
    </row>
    <row r="11" spans="2:12" ht="13">
      <c r="B11" s="42" t="s">
        <v>82</v>
      </c>
      <c r="C11" s="43"/>
      <c r="D11" s="47" t="s">
        <v>11</v>
      </c>
      <c r="E11" s="43" t="s">
        <v>236</v>
      </c>
      <c r="F11" s="43" t="s">
        <v>238</v>
      </c>
      <c r="G11" s="43" t="s">
        <v>242</v>
      </c>
      <c r="H11" s="51"/>
      <c r="I11" s="39"/>
      <c r="J11" s="39"/>
    </row>
    <row r="12" spans="2:12" ht="13">
      <c r="B12" s="51" t="s">
        <v>73</v>
      </c>
      <c r="C12" s="43"/>
      <c r="D12" s="44">
        <f>'10. Expenses'!AN117</f>
        <v>0</v>
      </c>
      <c r="E12" s="46" t="e">
        <f>D12/$D$3</f>
        <v>#DIV/0!</v>
      </c>
      <c r="F12" s="46" t="e">
        <f>D12/$D$5</f>
        <v>#DIV/0!</v>
      </c>
      <c r="G12" s="46" t="e">
        <f>D12/$D$4</f>
        <v>#DIV/0!</v>
      </c>
      <c r="H12" s="51"/>
      <c r="I12" s="39"/>
      <c r="J12" s="39"/>
    </row>
    <row r="13" spans="2:12" ht="13">
      <c r="B13" s="51" t="s">
        <v>74</v>
      </c>
      <c r="C13" s="43"/>
      <c r="D13" s="44">
        <f>'10. Expenses'!AN119</f>
        <v>0</v>
      </c>
      <c r="E13" s="46" t="e">
        <f t="shared" ref="E13:E30" si="0">D13/$D$3</f>
        <v>#DIV/0!</v>
      </c>
      <c r="F13" s="46" t="e">
        <f t="shared" ref="F13:F30" si="1">D13/$D$5</f>
        <v>#DIV/0!</v>
      </c>
      <c r="G13" s="46" t="e">
        <f t="shared" ref="G13:G30" si="2">D13/$D$4</f>
        <v>#DIV/0!</v>
      </c>
      <c r="H13" s="51"/>
      <c r="I13" s="39"/>
      <c r="J13" s="39"/>
    </row>
    <row r="14" spans="2:12" ht="13">
      <c r="B14" s="51" t="s">
        <v>84</v>
      </c>
      <c r="C14" s="43"/>
      <c r="D14" s="44">
        <f>'10. Expenses'!AN118</f>
        <v>0</v>
      </c>
      <c r="E14" s="46" t="e">
        <f t="shared" si="0"/>
        <v>#DIV/0!</v>
      </c>
      <c r="F14" s="46" t="e">
        <f t="shared" si="1"/>
        <v>#DIV/0!</v>
      </c>
      <c r="G14" s="46" t="e">
        <f t="shared" si="2"/>
        <v>#DIV/0!</v>
      </c>
      <c r="H14" s="51"/>
      <c r="I14" s="39"/>
      <c r="J14" s="39"/>
    </row>
    <row r="15" spans="2:12" ht="13">
      <c r="B15" s="51" t="s">
        <v>145</v>
      </c>
      <c r="C15" s="43"/>
      <c r="D15" s="44">
        <f>'10. Expenses'!J42</f>
        <v>0</v>
      </c>
      <c r="E15" s="46" t="e">
        <f t="shared" si="0"/>
        <v>#DIV/0!</v>
      </c>
      <c r="F15" s="46" t="e">
        <f t="shared" si="1"/>
        <v>#DIV/0!</v>
      </c>
      <c r="G15" s="46" t="e">
        <f t="shared" si="2"/>
        <v>#DIV/0!</v>
      </c>
      <c r="H15" s="51"/>
      <c r="I15" s="39"/>
      <c r="J15" s="39"/>
    </row>
    <row r="16" spans="2:12" ht="13">
      <c r="B16" s="51" t="s">
        <v>210</v>
      </c>
      <c r="C16" s="43"/>
      <c r="D16" s="44">
        <f>'10. Expenses'!J127</f>
        <v>0</v>
      </c>
      <c r="E16" s="46" t="e">
        <f t="shared" si="0"/>
        <v>#DIV/0!</v>
      </c>
      <c r="F16" s="46" t="e">
        <f t="shared" si="1"/>
        <v>#DIV/0!</v>
      </c>
      <c r="G16" s="46" t="e">
        <f t="shared" si="2"/>
        <v>#DIV/0!</v>
      </c>
      <c r="H16" s="51"/>
      <c r="I16" s="39"/>
      <c r="J16" s="39"/>
    </row>
    <row r="17" spans="2:10" ht="13">
      <c r="B17" s="51" t="s">
        <v>26</v>
      </c>
      <c r="C17" s="43"/>
      <c r="D17" s="44">
        <f>'10. Expenses'!J55</f>
        <v>0</v>
      </c>
      <c r="E17" s="46" t="e">
        <f t="shared" si="0"/>
        <v>#DIV/0!</v>
      </c>
      <c r="F17" s="46" t="e">
        <f t="shared" si="1"/>
        <v>#DIV/0!</v>
      </c>
      <c r="G17" s="46" t="e">
        <f t="shared" si="2"/>
        <v>#DIV/0!</v>
      </c>
      <c r="H17" s="51"/>
      <c r="I17" s="39"/>
      <c r="J17" s="39"/>
    </row>
    <row r="18" spans="2:10" ht="13">
      <c r="B18" s="51" t="s">
        <v>25</v>
      </c>
      <c r="C18" s="43"/>
      <c r="D18" s="44">
        <f>'10. Expenses'!J62</f>
        <v>0</v>
      </c>
      <c r="E18" s="46" t="e">
        <f t="shared" si="0"/>
        <v>#DIV/0!</v>
      </c>
      <c r="F18" s="46" t="e">
        <f t="shared" si="1"/>
        <v>#DIV/0!</v>
      </c>
      <c r="G18" s="46" t="e">
        <f t="shared" si="2"/>
        <v>#DIV/0!</v>
      </c>
      <c r="H18" s="51"/>
      <c r="I18" s="39"/>
      <c r="J18" s="39"/>
    </row>
    <row r="19" spans="2:10" ht="13">
      <c r="B19" s="51" t="s">
        <v>146</v>
      </c>
      <c r="C19" s="43"/>
      <c r="D19" s="44" t="e">
        <f>'10. Expenses'!J75</f>
        <v>#DIV/0!</v>
      </c>
      <c r="E19" s="46" t="e">
        <f t="shared" si="0"/>
        <v>#DIV/0!</v>
      </c>
      <c r="F19" s="46" t="e">
        <f t="shared" si="1"/>
        <v>#DIV/0!</v>
      </c>
      <c r="G19" s="46" t="e">
        <f t="shared" si="2"/>
        <v>#DIV/0!</v>
      </c>
      <c r="H19" s="51"/>
      <c r="I19" s="39"/>
      <c r="J19" s="39"/>
    </row>
    <row r="20" spans="2:10" ht="13">
      <c r="B20" s="51" t="s">
        <v>23</v>
      </c>
      <c r="C20" s="43"/>
      <c r="D20" s="44" t="e">
        <f>'10. Expenses'!J82</f>
        <v>#DIV/0!</v>
      </c>
      <c r="E20" s="46" t="e">
        <f t="shared" si="0"/>
        <v>#DIV/0!</v>
      </c>
      <c r="F20" s="46" t="e">
        <f t="shared" si="1"/>
        <v>#DIV/0!</v>
      </c>
      <c r="G20" s="46" t="e">
        <f t="shared" si="2"/>
        <v>#DIV/0!</v>
      </c>
      <c r="H20" s="51"/>
      <c r="I20" s="39"/>
      <c r="J20" s="39"/>
    </row>
    <row r="21" spans="2:10" ht="13">
      <c r="B21" s="51" t="s">
        <v>75</v>
      </c>
      <c r="C21" s="43"/>
      <c r="D21" s="44" t="e">
        <f>'10. Expenses'!J114</f>
        <v>#DIV/0!</v>
      </c>
      <c r="E21" s="46" t="e">
        <f t="shared" si="0"/>
        <v>#DIV/0!</v>
      </c>
      <c r="F21" s="46" t="e">
        <f t="shared" si="1"/>
        <v>#DIV/0!</v>
      </c>
      <c r="G21" s="46" t="e">
        <f t="shared" si="2"/>
        <v>#DIV/0!</v>
      </c>
      <c r="H21" s="51"/>
      <c r="I21" s="39"/>
      <c r="J21" s="39"/>
    </row>
    <row r="22" spans="2:10" ht="13">
      <c r="B22" s="51" t="s">
        <v>189</v>
      </c>
      <c r="C22" s="43"/>
      <c r="D22" s="44" t="e">
        <f>'10. Expenses'!AN106+'10. Expenses'!AN107</f>
        <v>#DIV/0!</v>
      </c>
      <c r="E22" s="46" t="e">
        <f t="shared" si="0"/>
        <v>#DIV/0!</v>
      </c>
      <c r="F22" s="46" t="e">
        <f t="shared" si="1"/>
        <v>#DIV/0!</v>
      </c>
      <c r="G22" s="46" t="e">
        <f t="shared" si="2"/>
        <v>#DIV/0!</v>
      </c>
      <c r="H22" s="51"/>
      <c r="I22" s="39"/>
      <c r="J22" s="39"/>
    </row>
    <row r="23" spans="2:10" ht="13">
      <c r="B23" s="51" t="s">
        <v>22</v>
      </c>
      <c r="C23" s="43"/>
      <c r="D23" s="44">
        <f>'10. Expenses'!J87</f>
        <v>0</v>
      </c>
      <c r="E23" s="46" t="e">
        <f t="shared" si="0"/>
        <v>#DIV/0!</v>
      </c>
      <c r="F23" s="46" t="e">
        <f t="shared" si="1"/>
        <v>#DIV/0!</v>
      </c>
      <c r="G23" s="46" t="e">
        <f t="shared" si="2"/>
        <v>#DIV/0!</v>
      </c>
      <c r="H23" s="51"/>
      <c r="I23" s="39"/>
      <c r="J23" s="39"/>
    </row>
    <row r="24" spans="2:10" ht="13">
      <c r="B24" s="51" t="s">
        <v>150</v>
      </c>
      <c r="C24" s="43"/>
      <c r="D24" s="44">
        <f>'11. Unpaid Labour'!L8</f>
        <v>0</v>
      </c>
      <c r="E24" s="46" t="e">
        <f t="shared" si="0"/>
        <v>#DIV/0!</v>
      </c>
      <c r="F24" s="46" t="e">
        <f t="shared" si="1"/>
        <v>#DIV/0!</v>
      </c>
      <c r="G24" s="46" t="e">
        <f t="shared" si="2"/>
        <v>#DIV/0!</v>
      </c>
      <c r="H24" s="51"/>
      <c r="I24" s="39"/>
      <c r="J24" s="39"/>
    </row>
    <row r="25" spans="2:10" ht="13">
      <c r="B25" s="51" t="s">
        <v>515</v>
      </c>
      <c r="C25" s="43"/>
      <c r="D25" s="44" t="e">
        <f>'10. Expenses'!J97-'10. Expenses'!AC92-'10. Expenses'!AC93</f>
        <v>#DIV/0!</v>
      </c>
      <c r="E25" s="46" t="e">
        <f t="shared" si="0"/>
        <v>#DIV/0!</v>
      </c>
      <c r="F25" s="46" t="e">
        <f t="shared" si="1"/>
        <v>#DIV/0!</v>
      </c>
      <c r="G25" s="46" t="e">
        <f t="shared" si="2"/>
        <v>#DIV/0!</v>
      </c>
      <c r="H25" s="51"/>
      <c r="I25" s="39"/>
      <c r="J25" s="39"/>
    </row>
    <row r="26" spans="2:10" ht="13">
      <c r="B26" s="51" t="s">
        <v>20</v>
      </c>
      <c r="C26" s="43"/>
      <c r="D26" s="44" t="e">
        <f>'12. Assets_for Depreciation'!L26+'12. Assets_for Depreciation'!L51+'12. Assets_for Depreciation'!L86</f>
        <v>#DIV/0!</v>
      </c>
      <c r="E26" s="46" t="e">
        <f t="shared" si="0"/>
        <v>#DIV/0!</v>
      </c>
      <c r="F26" s="46" t="e">
        <f t="shared" si="1"/>
        <v>#DIV/0!</v>
      </c>
      <c r="G26" s="46" t="e">
        <f t="shared" si="2"/>
        <v>#DIV/0!</v>
      </c>
      <c r="H26" s="51"/>
      <c r="I26" s="39"/>
      <c r="J26" s="39"/>
    </row>
    <row r="27" spans="2:10" ht="13">
      <c r="B27" s="51" t="s">
        <v>147</v>
      </c>
      <c r="C27" s="43"/>
      <c r="D27" s="44" t="e">
        <f>'10. Expenses'!AN105</f>
        <v>#DIV/0!</v>
      </c>
      <c r="E27" s="46" t="e">
        <f t="shared" si="0"/>
        <v>#DIV/0!</v>
      </c>
      <c r="F27" s="46" t="e">
        <f t="shared" si="1"/>
        <v>#DIV/0!</v>
      </c>
      <c r="G27" s="46" t="e">
        <f t="shared" si="2"/>
        <v>#DIV/0!</v>
      </c>
      <c r="H27" s="51"/>
      <c r="I27" s="39"/>
      <c r="J27" s="39"/>
    </row>
    <row r="28" spans="2:10" ht="13">
      <c r="B28" s="51" t="s">
        <v>76</v>
      </c>
      <c r="C28" s="43"/>
      <c r="D28" s="44">
        <f>'10. Expenses'!AN92+'10. Expenses'!AN93</f>
        <v>0</v>
      </c>
      <c r="E28" s="46" t="e">
        <f t="shared" si="0"/>
        <v>#DIV/0!</v>
      </c>
      <c r="F28" s="46" t="e">
        <f t="shared" si="1"/>
        <v>#DIV/0!</v>
      </c>
      <c r="G28" s="46" t="e">
        <f t="shared" si="2"/>
        <v>#DIV/0!</v>
      </c>
      <c r="H28" s="51"/>
      <c r="I28" s="39"/>
      <c r="J28" s="39"/>
    </row>
    <row r="29" spans="2:10" ht="13">
      <c r="B29" s="51" t="s">
        <v>136</v>
      </c>
      <c r="C29" s="43"/>
      <c r="D29" s="44">
        <f>'10. Expenses'!J133</f>
        <v>0</v>
      </c>
      <c r="E29" s="46" t="e">
        <f t="shared" si="0"/>
        <v>#DIV/0!</v>
      </c>
      <c r="F29" s="46" t="e">
        <f t="shared" si="1"/>
        <v>#DIV/0!</v>
      </c>
      <c r="G29" s="46" t="e">
        <f t="shared" si="2"/>
        <v>#DIV/0!</v>
      </c>
      <c r="H29" s="51"/>
      <c r="I29" s="39"/>
      <c r="J29" s="39"/>
    </row>
    <row r="30" spans="2:10" ht="13">
      <c r="B30" s="51" t="s">
        <v>19</v>
      </c>
      <c r="C30" s="43"/>
      <c r="D30" s="44">
        <f>'10. Expenses'!J102</f>
        <v>0</v>
      </c>
      <c r="E30" s="46" t="e">
        <f t="shared" si="0"/>
        <v>#DIV/0!</v>
      </c>
      <c r="F30" s="46" t="e">
        <f t="shared" si="1"/>
        <v>#DIV/0!</v>
      </c>
      <c r="G30" s="46" t="e">
        <f t="shared" si="2"/>
        <v>#DIV/0!</v>
      </c>
      <c r="H30" s="51"/>
      <c r="I30" s="39"/>
      <c r="J30" s="39"/>
    </row>
    <row r="31" spans="2:10" ht="13">
      <c r="B31" s="42" t="s">
        <v>83</v>
      </c>
      <c r="C31" s="43" t="s">
        <v>28</v>
      </c>
      <c r="D31" s="47" t="e">
        <f>SUM(D12:D30)</f>
        <v>#DIV/0!</v>
      </c>
      <c r="E31" s="47" t="e">
        <f>SUM(E12:E30)</f>
        <v>#DIV/0!</v>
      </c>
      <c r="F31" s="47" t="e">
        <f>SUM(F12:F30)</f>
        <v>#DIV/0!</v>
      </c>
      <c r="G31" s="47" t="e">
        <f>SUM(G12:G30)</f>
        <v>#DIV/0!</v>
      </c>
      <c r="H31" s="51"/>
      <c r="I31" s="39"/>
      <c r="J31" s="39"/>
    </row>
    <row r="32" spans="2:10" ht="13">
      <c r="B32" s="37"/>
      <c r="C32" s="36"/>
      <c r="D32" s="45"/>
      <c r="E32" s="37"/>
      <c r="F32" s="37"/>
      <c r="G32" s="51"/>
      <c r="H32" s="51"/>
      <c r="I32" s="39"/>
      <c r="J32" s="39"/>
    </row>
    <row r="33" spans="2:10" ht="13">
      <c r="B33" s="42"/>
      <c r="C33" s="43"/>
      <c r="D33" s="47" t="s">
        <v>11</v>
      </c>
      <c r="E33" s="43" t="s">
        <v>236</v>
      </c>
      <c r="F33" s="43" t="s">
        <v>238</v>
      </c>
      <c r="G33" s="43" t="s">
        <v>242</v>
      </c>
      <c r="H33" s="51"/>
      <c r="I33" s="39"/>
      <c r="J33" s="39"/>
    </row>
    <row r="34" spans="2:10" ht="13">
      <c r="B34" s="42" t="s">
        <v>77</v>
      </c>
      <c r="C34" s="43" t="s">
        <v>17</v>
      </c>
      <c r="D34" s="47" t="e">
        <f>D31-D24</f>
        <v>#DIV/0!</v>
      </c>
      <c r="E34" s="48" t="e">
        <f>D34/$D$3</f>
        <v>#DIV/0!</v>
      </c>
      <c r="F34" s="48" t="e">
        <f>D34/$D$5</f>
        <v>#DIV/0!</v>
      </c>
      <c r="G34" s="48" t="e">
        <f>D34/$D$4</f>
        <v>#DIV/0!</v>
      </c>
      <c r="H34" s="51"/>
      <c r="I34" s="39"/>
      <c r="J34" s="39"/>
    </row>
    <row r="35" spans="2:10" ht="13">
      <c r="B35" s="35" t="s">
        <v>4</v>
      </c>
      <c r="C35" s="36" t="s">
        <v>78</v>
      </c>
      <c r="D35" s="47" t="e">
        <f>D9-D31</f>
        <v>#DIV/0!</v>
      </c>
      <c r="E35" s="48" t="e">
        <f>D35/$D$3</f>
        <v>#DIV/0!</v>
      </c>
      <c r="F35" s="48" t="e">
        <f>D35/$D$5</f>
        <v>#DIV/0!</v>
      </c>
      <c r="G35" s="48" t="e">
        <f>D35/$D$4</f>
        <v>#DIV/0!</v>
      </c>
      <c r="H35" s="51"/>
      <c r="I35" s="39"/>
      <c r="J35" s="39"/>
    </row>
    <row r="36" spans="2:10" ht="13">
      <c r="B36" s="35" t="s">
        <v>2</v>
      </c>
      <c r="C36" s="36" t="s">
        <v>79</v>
      </c>
      <c r="D36" s="47" t="e">
        <f>D35+D24</f>
        <v>#DIV/0!</v>
      </c>
      <c r="E36" s="48" t="e">
        <f>E35+E24</f>
        <v>#DIV/0!</v>
      </c>
      <c r="F36" s="48" t="e">
        <f>F35+F24</f>
        <v>#DIV/0!</v>
      </c>
      <c r="G36" s="48" t="e">
        <f>G35+G24</f>
        <v>#DIV/0!</v>
      </c>
      <c r="H36" s="51"/>
      <c r="I36" s="39"/>
      <c r="J36" s="39"/>
    </row>
    <row r="38" spans="2:10" ht="14">
      <c r="C38" s="6"/>
      <c r="D38" s="552" t="s">
        <v>492</v>
      </c>
      <c r="E38" s="551" t="e">
        <f>F31</f>
        <v>#DIV/0!</v>
      </c>
      <c r="F38" s="550" t="s">
        <v>493</v>
      </c>
    </row>
    <row r="39" spans="2:10">
      <c r="D39" s="568" t="s">
        <v>522</v>
      </c>
    </row>
  </sheetData>
  <sheetCalcPr fullCalcOnLoad="1"/>
  <sheetProtection sheet="1" objects="1" scenarios="1"/>
  <pageMargins left="0.75" right="0.75" top="1" bottom="1" header="0.5" footer="0.5"/>
  <headerFooter alignWithMargins="0">
    <oddFooter>&amp;L&amp;A&amp;R&amp;D</oddFooter>
  </headerFooter>
  <drawing r:id="rId1"/>
  <legacyDrawing r:id="rId2"/>
  <extLst>
    <ext xmlns:mx="http://schemas.microsoft.com/office/mac/excel/2008/main" uri="http://schemas.microsoft.com/office/mac/excel/2008/main">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K38"/>
  <sheetViews>
    <sheetView showGridLines="0" showRowColHeaders="0" workbookViewId="0">
      <selection activeCell="D3" sqref="D3"/>
    </sheetView>
  </sheetViews>
  <sheetFormatPr baseColWidth="10" defaultColWidth="8.83203125" defaultRowHeight="12"/>
  <cols>
    <col min="1" max="1" width="5.1640625" style="40" customWidth="1"/>
    <col min="2" max="2" width="30.33203125" style="40" customWidth="1"/>
    <col min="3" max="3" width="7.5" style="40" bestFit="1" customWidth="1"/>
    <col min="4" max="4" width="9.5" style="54" bestFit="1" customWidth="1"/>
    <col min="5" max="5" width="10" style="40" customWidth="1"/>
    <col min="6" max="6" width="10.1640625" style="40" customWidth="1"/>
    <col min="7" max="7" width="8.83203125" style="40"/>
    <col min="8" max="8" width="7.6640625" style="40" customWidth="1"/>
    <col min="9" max="10" width="8.5" style="40" customWidth="1"/>
    <col min="11" max="257" width="8.83203125" style="40"/>
    <col min="258" max="258" width="34.6640625" style="40" customWidth="1"/>
    <col min="259" max="259" width="7.5" style="40" bestFit="1" customWidth="1"/>
    <col min="260" max="260" width="9.5" style="40" bestFit="1" customWidth="1"/>
    <col min="261" max="261" width="8.83203125" style="40"/>
    <col min="262" max="262" width="11.6640625" style="40" customWidth="1"/>
    <col min="263" max="263" width="8.83203125" style="40"/>
    <col min="264" max="265" width="6.6640625" style="40" bestFit="1" customWidth="1"/>
    <col min="266" max="513" width="8.83203125" style="40"/>
    <col min="514" max="514" width="34.6640625" style="40" customWidth="1"/>
    <col min="515" max="515" width="7.5" style="40" bestFit="1" customWidth="1"/>
    <col min="516" max="516" width="9.5" style="40" bestFit="1" customWidth="1"/>
    <col min="517" max="517" width="8.83203125" style="40"/>
    <col min="518" max="518" width="11.6640625" style="40" customWidth="1"/>
    <col min="519" max="519" width="8.83203125" style="40"/>
    <col min="520" max="521" width="6.6640625" style="40" bestFit="1" customWidth="1"/>
    <col min="522" max="769" width="8.83203125" style="40"/>
    <col min="770" max="770" width="34.6640625" style="40" customWidth="1"/>
    <col min="771" max="771" width="7.5" style="40" bestFit="1" customWidth="1"/>
    <col min="772" max="772" width="9.5" style="40" bestFit="1" customWidth="1"/>
    <col min="773" max="773" width="8.83203125" style="40"/>
    <col min="774" max="774" width="11.6640625" style="40" customWidth="1"/>
    <col min="775" max="775" width="8.83203125" style="40"/>
    <col min="776" max="777" width="6.6640625" style="40" bestFit="1" customWidth="1"/>
    <col min="778" max="1025" width="8.83203125" style="40"/>
    <col min="1026" max="1026" width="34.6640625" style="40" customWidth="1"/>
    <col min="1027" max="1027" width="7.5" style="40" bestFit="1" customWidth="1"/>
    <col min="1028" max="1028" width="9.5" style="40" bestFit="1" customWidth="1"/>
    <col min="1029" max="1029" width="8.83203125" style="40"/>
    <col min="1030" max="1030" width="11.6640625" style="40" customWidth="1"/>
    <col min="1031" max="1031" width="8.83203125" style="40"/>
    <col min="1032" max="1033" width="6.6640625" style="40" bestFit="1" customWidth="1"/>
    <col min="1034" max="1281" width="8.83203125" style="40"/>
    <col min="1282" max="1282" width="34.6640625" style="40" customWidth="1"/>
    <col min="1283" max="1283" width="7.5" style="40" bestFit="1" customWidth="1"/>
    <col min="1284" max="1284" width="9.5" style="40" bestFit="1" customWidth="1"/>
    <col min="1285" max="1285" width="8.83203125" style="40"/>
    <col min="1286" max="1286" width="11.6640625" style="40" customWidth="1"/>
    <col min="1287" max="1287" width="8.83203125" style="40"/>
    <col min="1288" max="1289" width="6.6640625" style="40" bestFit="1" customWidth="1"/>
    <col min="1290" max="1537" width="8.83203125" style="40"/>
    <col min="1538" max="1538" width="34.6640625" style="40" customWidth="1"/>
    <col min="1539" max="1539" width="7.5" style="40" bestFit="1" customWidth="1"/>
    <col min="1540" max="1540" width="9.5" style="40" bestFit="1" customWidth="1"/>
    <col min="1541" max="1541" width="8.83203125" style="40"/>
    <col min="1542" max="1542" width="11.6640625" style="40" customWidth="1"/>
    <col min="1543" max="1543" width="8.83203125" style="40"/>
    <col min="1544" max="1545" width="6.6640625" style="40" bestFit="1" customWidth="1"/>
    <col min="1546" max="1793" width="8.83203125" style="40"/>
    <col min="1794" max="1794" width="34.6640625" style="40" customWidth="1"/>
    <col min="1795" max="1795" width="7.5" style="40" bestFit="1" customWidth="1"/>
    <col min="1796" max="1796" width="9.5" style="40" bestFit="1" customWidth="1"/>
    <col min="1797" max="1797" width="8.83203125" style="40"/>
    <col min="1798" max="1798" width="11.6640625" style="40" customWidth="1"/>
    <col min="1799" max="1799" width="8.83203125" style="40"/>
    <col min="1800" max="1801" width="6.6640625" style="40" bestFit="1" customWidth="1"/>
    <col min="1802" max="2049" width="8.83203125" style="40"/>
    <col min="2050" max="2050" width="34.6640625" style="40" customWidth="1"/>
    <col min="2051" max="2051" width="7.5" style="40" bestFit="1" customWidth="1"/>
    <col min="2052" max="2052" width="9.5" style="40" bestFit="1" customWidth="1"/>
    <col min="2053" max="2053" width="8.83203125" style="40"/>
    <col min="2054" max="2054" width="11.6640625" style="40" customWidth="1"/>
    <col min="2055" max="2055" width="8.83203125" style="40"/>
    <col min="2056" max="2057" width="6.6640625" style="40" bestFit="1" customWidth="1"/>
    <col min="2058" max="2305" width="8.83203125" style="40"/>
    <col min="2306" max="2306" width="34.6640625" style="40" customWidth="1"/>
    <col min="2307" max="2307" width="7.5" style="40" bestFit="1" customWidth="1"/>
    <col min="2308" max="2308" width="9.5" style="40" bestFit="1" customWidth="1"/>
    <col min="2309" max="2309" width="8.83203125" style="40"/>
    <col min="2310" max="2310" width="11.6640625" style="40" customWidth="1"/>
    <col min="2311" max="2311" width="8.83203125" style="40"/>
    <col min="2312" max="2313" width="6.6640625" style="40" bestFit="1" customWidth="1"/>
    <col min="2314" max="2561" width="8.83203125" style="40"/>
    <col min="2562" max="2562" width="34.6640625" style="40" customWidth="1"/>
    <col min="2563" max="2563" width="7.5" style="40" bestFit="1" customWidth="1"/>
    <col min="2564" max="2564" width="9.5" style="40" bestFit="1" customWidth="1"/>
    <col min="2565" max="2565" width="8.83203125" style="40"/>
    <col min="2566" max="2566" width="11.6640625" style="40" customWidth="1"/>
    <col min="2567" max="2567" width="8.83203125" style="40"/>
    <col min="2568" max="2569" width="6.6640625" style="40" bestFit="1" customWidth="1"/>
    <col min="2570" max="2817" width="8.83203125" style="40"/>
    <col min="2818" max="2818" width="34.6640625" style="40" customWidth="1"/>
    <col min="2819" max="2819" width="7.5" style="40" bestFit="1" customWidth="1"/>
    <col min="2820" max="2820" width="9.5" style="40" bestFit="1" customWidth="1"/>
    <col min="2821" max="2821" width="8.83203125" style="40"/>
    <col min="2822" max="2822" width="11.6640625" style="40" customWidth="1"/>
    <col min="2823" max="2823" width="8.83203125" style="40"/>
    <col min="2824" max="2825" width="6.6640625" style="40" bestFit="1" customWidth="1"/>
    <col min="2826" max="3073" width="8.83203125" style="40"/>
    <col min="3074" max="3074" width="34.6640625" style="40" customWidth="1"/>
    <col min="3075" max="3075" width="7.5" style="40" bestFit="1" customWidth="1"/>
    <col min="3076" max="3076" width="9.5" style="40" bestFit="1" customWidth="1"/>
    <col min="3077" max="3077" width="8.83203125" style="40"/>
    <col min="3078" max="3078" width="11.6640625" style="40" customWidth="1"/>
    <col min="3079" max="3079" width="8.83203125" style="40"/>
    <col min="3080" max="3081" width="6.6640625" style="40" bestFit="1" customWidth="1"/>
    <col min="3082" max="3329" width="8.83203125" style="40"/>
    <col min="3330" max="3330" width="34.6640625" style="40" customWidth="1"/>
    <col min="3331" max="3331" width="7.5" style="40" bestFit="1" customWidth="1"/>
    <col min="3332" max="3332" width="9.5" style="40" bestFit="1" customWidth="1"/>
    <col min="3333" max="3333" width="8.83203125" style="40"/>
    <col min="3334" max="3334" width="11.6640625" style="40" customWidth="1"/>
    <col min="3335" max="3335" width="8.83203125" style="40"/>
    <col min="3336" max="3337" width="6.6640625" style="40" bestFit="1" customWidth="1"/>
    <col min="3338" max="3585" width="8.83203125" style="40"/>
    <col min="3586" max="3586" width="34.6640625" style="40" customWidth="1"/>
    <col min="3587" max="3587" width="7.5" style="40" bestFit="1" customWidth="1"/>
    <col min="3588" max="3588" width="9.5" style="40" bestFit="1" customWidth="1"/>
    <col min="3589" max="3589" width="8.83203125" style="40"/>
    <col min="3590" max="3590" width="11.6640625" style="40" customWidth="1"/>
    <col min="3591" max="3591" width="8.83203125" style="40"/>
    <col min="3592" max="3593" width="6.6640625" style="40" bestFit="1" customWidth="1"/>
    <col min="3594" max="3841" width="8.83203125" style="40"/>
    <col min="3842" max="3842" width="34.6640625" style="40" customWidth="1"/>
    <col min="3843" max="3843" width="7.5" style="40" bestFit="1" customWidth="1"/>
    <col min="3844" max="3844" width="9.5" style="40" bestFit="1" customWidth="1"/>
    <col min="3845" max="3845" width="8.83203125" style="40"/>
    <col min="3846" max="3846" width="11.6640625" style="40" customWidth="1"/>
    <col min="3847" max="3847" width="8.83203125" style="40"/>
    <col min="3848" max="3849" width="6.6640625" style="40" bestFit="1" customWidth="1"/>
    <col min="3850" max="4097" width="8.83203125" style="40"/>
    <col min="4098" max="4098" width="34.6640625" style="40" customWidth="1"/>
    <col min="4099" max="4099" width="7.5" style="40" bestFit="1" customWidth="1"/>
    <col min="4100" max="4100" width="9.5" style="40" bestFit="1" customWidth="1"/>
    <col min="4101" max="4101" width="8.83203125" style="40"/>
    <col min="4102" max="4102" width="11.6640625" style="40" customWidth="1"/>
    <col min="4103" max="4103" width="8.83203125" style="40"/>
    <col min="4104" max="4105" width="6.6640625" style="40" bestFit="1" customWidth="1"/>
    <col min="4106" max="4353" width="8.83203125" style="40"/>
    <col min="4354" max="4354" width="34.6640625" style="40" customWidth="1"/>
    <col min="4355" max="4355" width="7.5" style="40" bestFit="1" customWidth="1"/>
    <col min="4356" max="4356" width="9.5" style="40" bestFit="1" customWidth="1"/>
    <col min="4357" max="4357" width="8.83203125" style="40"/>
    <col min="4358" max="4358" width="11.6640625" style="40" customWidth="1"/>
    <col min="4359" max="4359" width="8.83203125" style="40"/>
    <col min="4360" max="4361" width="6.6640625" style="40" bestFit="1" customWidth="1"/>
    <col min="4362" max="4609" width="8.83203125" style="40"/>
    <col min="4610" max="4610" width="34.6640625" style="40" customWidth="1"/>
    <col min="4611" max="4611" width="7.5" style="40" bestFit="1" customWidth="1"/>
    <col min="4612" max="4612" width="9.5" style="40" bestFit="1" customWidth="1"/>
    <col min="4613" max="4613" width="8.83203125" style="40"/>
    <col min="4614" max="4614" width="11.6640625" style="40" customWidth="1"/>
    <col min="4615" max="4615" width="8.83203125" style="40"/>
    <col min="4616" max="4617" width="6.6640625" style="40" bestFit="1" customWidth="1"/>
    <col min="4618" max="4865" width="8.83203125" style="40"/>
    <col min="4866" max="4866" width="34.6640625" style="40" customWidth="1"/>
    <col min="4867" max="4867" width="7.5" style="40" bestFit="1" customWidth="1"/>
    <col min="4868" max="4868" width="9.5" style="40" bestFit="1" customWidth="1"/>
    <col min="4869" max="4869" width="8.83203125" style="40"/>
    <col min="4870" max="4870" width="11.6640625" style="40" customWidth="1"/>
    <col min="4871" max="4871" width="8.83203125" style="40"/>
    <col min="4872" max="4873" width="6.6640625" style="40" bestFit="1" customWidth="1"/>
    <col min="4874" max="5121" width="8.83203125" style="40"/>
    <col min="5122" max="5122" width="34.6640625" style="40" customWidth="1"/>
    <col min="5123" max="5123" width="7.5" style="40" bestFit="1" customWidth="1"/>
    <col min="5124" max="5124" width="9.5" style="40" bestFit="1" customWidth="1"/>
    <col min="5125" max="5125" width="8.83203125" style="40"/>
    <col min="5126" max="5126" width="11.6640625" style="40" customWidth="1"/>
    <col min="5127" max="5127" width="8.83203125" style="40"/>
    <col min="5128" max="5129" width="6.6640625" style="40" bestFit="1" customWidth="1"/>
    <col min="5130" max="5377" width="8.83203125" style="40"/>
    <col min="5378" max="5378" width="34.6640625" style="40" customWidth="1"/>
    <col min="5379" max="5379" width="7.5" style="40" bestFit="1" customWidth="1"/>
    <col min="5380" max="5380" width="9.5" style="40" bestFit="1" customWidth="1"/>
    <col min="5381" max="5381" width="8.83203125" style="40"/>
    <col min="5382" max="5382" width="11.6640625" style="40" customWidth="1"/>
    <col min="5383" max="5383" width="8.83203125" style="40"/>
    <col min="5384" max="5385" width="6.6640625" style="40" bestFit="1" customWidth="1"/>
    <col min="5386" max="5633" width="8.83203125" style="40"/>
    <col min="5634" max="5634" width="34.6640625" style="40" customWidth="1"/>
    <col min="5635" max="5635" width="7.5" style="40" bestFit="1" customWidth="1"/>
    <col min="5636" max="5636" width="9.5" style="40" bestFit="1" customWidth="1"/>
    <col min="5637" max="5637" width="8.83203125" style="40"/>
    <col min="5638" max="5638" width="11.6640625" style="40" customWidth="1"/>
    <col min="5639" max="5639" width="8.83203125" style="40"/>
    <col min="5640" max="5641" width="6.6640625" style="40" bestFit="1" customWidth="1"/>
    <col min="5642" max="5889" width="8.83203125" style="40"/>
    <col min="5890" max="5890" width="34.6640625" style="40" customWidth="1"/>
    <col min="5891" max="5891" width="7.5" style="40" bestFit="1" customWidth="1"/>
    <col min="5892" max="5892" width="9.5" style="40" bestFit="1" customWidth="1"/>
    <col min="5893" max="5893" width="8.83203125" style="40"/>
    <col min="5894" max="5894" width="11.6640625" style="40" customWidth="1"/>
    <col min="5895" max="5895" width="8.83203125" style="40"/>
    <col min="5896" max="5897" width="6.6640625" style="40" bestFit="1" customWidth="1"/>
    <col min="5898" max="6145" width="8.83203125" style="40"/>
    <col min="6146" max="6146" width="34.6640625" style="40" customWidth="1"/>
    <col min="6147" max="6147" width="7.5" style="40" bestFit="1" customWidth="1"/>
    <col min="6148" max="6148" width="9.5" style="40" bestFit="1" customWidth="1"/>
    <col min="6149" max="6149" width="8.83203125" style="40"/>
    <col min="6150" max="6150" width="11.6640625" style="40" customWidth="1"/>
    <col min="6151" max="6151" width="8.83203125" style="40"/>
    <col min="6152" max="6153" width="6.6640625" style="40" bestFit="1" customWidth="1"/>
    <col min="6154" max="6401" width="8.83203125" style="40"/>
    <col min="6402" max="6402" width="34.6640625" style="40" customWidth="1"/>
    <col min="6403" max="6403" width="7.5" style="40" bestFit="1" customWidth="1"/>
    <col min="6404" max="6404" width="9.5" style="40" bestFit="1" customWidth="1"/>
    <col min="6405" max="6405" width="8.83203125" style="40"/>
    <col min="6406" max="6406" width="11.6640625" style="40" customWidth="1"/>
    <col min="6407" max="6407" width="8.83203125" style="40"/>
    <col min="6408" max="6409" width="6.6640625" style="40" bestFit="1" customWidth="1"/>
    <col min="6410" max="6657" width="8.83203125" style="40"/>
    <col min="6658" max="6658" width="34.6640625" style="40" customWidth="1"/>
    <col min="6659" max="6659" width="7.5" style="40" bestFit="1" customWidth="1"/>
    <col min="6660" max="6660" width="9.5" style="40" bestFit="1" customWidth="1"/>
    <col min="6661" max="6661" width="8.83203125" style="40"/>
    <col min="6662" max="6662" width="11.6640625" style="40" customWidth="1"/>
    <col min="6663" max="6663" width="8.83203125" style="40"/>
    <col min="6664" max="6665" width="6.6640625" style="40" bestFit="1" customWidth="1"/>
    <col min="6666" max="6913" width="8.83203125" style="40"/>
    <col min="6914" max="6914" width="34.6640625" style="40" customWidth="1"/>
    <col min="6915" max="6915" width="7.5" style="40" bestFit="1" customWidth="1"/>
    <col min="6916" max="6916" width="9.5" style="40" bestFit="1" customWidth="1"/>
    <col min="6917" max="6917" width="8.83203125" style="40"/>
    <col min="6918" max="6918" width="11.6640625" style="40" customWidth="1"/>
    <col min="6919" max="6919" width="8.83203125" style="40"/>
    <col min="6920" max="6921" width="6.6640625" style="40" bestFit="1" customWidth="1"/>
    <col min="6922" max="7169" width="8.83203125" style="40"/>
    <col min="7170" max="7170" width="34.6640625" style="40" customWidth="1"/>
    <col min="7171" max="7171" width="7.5" style="40" bestFit="1" customWidth="1"/>
    <col min="7172" max="7172" width="9.5" style="40" bestFit="1" customWidth="1"/>
    <col min="7173" max="7173" width="8.83203125" style="40"/>
    <col min="7174" max="7174" width="11.6640625" style="40" customWidth="1"/>
    <col min="7175" max="7175" width="8.83203125" style="40"/>
    <col min="7176" max="7177" width="6.6640625" style="40" bestFit="1" customWidth="1"/>
    <col min="7178" max="7425" width="8.83203125" style="40"/>
    <col min="7426" max="7426" width="34.6640625" style="40" customWidth="1"/>
    <col min="7427" max="7427" width="7.5" style="40" bestFit="1" customWidth="1"/>
    <col min="7428" max="7428" width="9.5" style="40" bestFit="1" customWidth="1"/>
    <col min="7429" max="7429" width="8.83203125" style="40"/>
    <col min="7430" max="7430" width="11.6640625" style="40" customWidth="1"/>
    <col min="7431" max="7431" width="8.83203125" style="40"/>
    <col min="7432" max="7433" width="6.6640625" style="40" bestFit="1" customWidth="1"/>
    <col min="7434" max="7681" width="8.83203125" style="40"/>
    <col min="7682" max="7682" width="34.6640625" style="40" customWidth="1"/>
    <col min="7683" max="7683" width="7.5" style="40" bestFit="1" customWidth="1"/>
    <col min="7684" max="7684" width="9.5" style="40" bestFit="1" customWidth="1"/>
    <col min="7685" max="7685" width="8.83203125" style="40"/>
    <col min="7686" max="7686" width="11.6640625" style="40" customWidth="1"/>
    <col min="7687" max="7687" width="8.83203125" style="40"/>
    <col min="7688" max="7689" width="6.6640625" style="40" bestFit="1" customWidth="1"/>
    <col min="7690" max="7937" width="8.83203125" style="40"/>
    <col min="7938" max="7938" width="34.6640625" style="40" customWidth="1"/>
    <col min="7939" max="7939" width="7.5" style="40" bestFit="1" customWidth="1"/>
    <col min="7940" max="7940" width="9.5" style="40" bestFit="1" customWidth="1"/>
    <col min="7941" max="7941" width="8.83203125" style="40"/>
    <col min="7942" max="7942" width="11.6640625" style="40" customWidth="1"/>
    <col min="7943" max="7943" width="8.83203125" style="40"/>
    <col min="7944" max="7945" width="6.6640625" style="40" bestFit="1" customWidth="1"/>
    <col min="7946" max="8193" width="8.83203125" style="40"/>
    <col min="8194" max="8194" width="34.6640625" style="40" customWidth="1"/>
    <col min="8195" max="8195" width="7.5" style="40" bestFit="1" customWidth="1"/>
    <col min="8196" max="8196" width="9.5" style="40" bestFit="1" customWidth="1"/>
    <col min="8197" max="8197" width="8.83203125" style="40"/>
    <col min="8198" max="8198" width="11.6640625" style="40" customWidth="1"/>
    <col min="8199" max="8199" width="8.83203125" style="40"/>
    <col min="8200" max="8201" width="6.6640625" style="40" bestFit="1" customWidth="1"/>
    <col min="8202" max="8449" width="8.83203125" style="40"/>
    <col min="8450" max="8450" width="34.6640625" style="40" customWidth="1"/>
    <col min="8451" max="8451" width="7.5" style="40" bestFit="1" customWidth="1"/>
    <col min="8452" max="8452" width="9.5" style="40" bestFit="1" customWidth="1"/>
    <col min="8453" max="8453" width="8.83203125" style="40"/>
    <col min="8454" max="8454" width="11.6640625" style="40" customWidth="1"/>
    <col min="8455" max="8455" width="8.83203125" style="40"/>
    <col min="8456" max="8457" width="6.6640625" style="40" bestFit="1" customWidth="1"/>
    <col min="8458" max="8705" width="8.83203125" style="40"/>
    <col min="8706" max="8706" width="34.6640625" style="40" customWidth="1"/>
    <col min="8707" max="8707" width="7.5" style="40" bestFit="1" customWidth="1"/>
    <col min="8708" max="8708" width="9.5" style="40" bestFit="1" customWidth="1"/>
    <col min="8709" max="8709" width="8.83203125" style="40"/>
    <col min="8710" max="8710" width="11.6640625" style="40" customWidth="1"/>
    <col min="8711" max="8711" width="8.83203125" style="40"/>
    <col min="8712" max="8713" width="6.6640625" style="40" bestFit="1" customWidth="1"/>
    <col min="8714" max="8961" width="8.83203125" style="40"/>
    <col min="8962" max="8962" width="34.6640625" style="40" customWidth="1"/>
    <col min="8963" max="8963" width="7.5" style="40" bestFit="1" customWidth="1"/>
    <col min="8964" max="8964" width="9.5" style="40" bestFit="1" customWidth="1"/>
    <col min="8965" max="8965" width="8.83203125" style="40"/>
    <col min="8966" max="8966" width="11.6640625" style="40" customWidth="1"/>
    <col min="8967" max="8967" width="8.83203125" style="40"/>
    <col min="8968" max="8969" width="6.6640625" style="40" bestFit="1" customWidth="1"/>
    <col min="8970" max="9217" width="8.83203125" style="40"/>
    <col min="9218" max="9218" width="34.6640625" style="40" customWidth="1"/>
    <col min="9219" max="9219" width="7.5" style="40" bestFit="1" customWidth="1"/>
    <col min="9220" max="9220" width="9.5" style="40" bestFit="1" customWidth="1"/>
    <col min="9221" max="9221" width="8.83203125" style="40"/>
    <col min="9222" max="9222" width="11.6640625" style="40" customWidth="1"/>
    <col min="9223" max="9223" width="8.83203125" style="40"/>
    <col min="9224" max="9225" width="6.6640625" style="40" bestFit="1" customWidth="1"/>
    <col min="9226" max="9473" width="8.83203125" style="40"/>
    <col min="9474" max="9474" width="34.6640625" style="40" customWidth="1"/>
    <col min="9475" max="9475" width="7.5" style="40" bestFit="1" customWidth="1"/>
    <col min="9476" max="9476" width="9.5" style="40" bestFit="1" customWidth="1"/>
    <col min="9477" max="9477" width="8.83203125" style="40"/>
    <col min="9478" max="9478" width="11.6640625" style="40" customWidth="1"/>
    <col min="9479" max="9479" width="8.83203125" style="40"/>
    <col min="9480" max="9481" width="6.6640625" style="40" bestFit="1" customWidth="1"/>
    <col min="9482" max="9729" width="8.83203125" style="40"/>
    <col min="9730" max="9730" width="34.6640625" style="40" customWidth="1"/>
    <col min="9731" max="9731" width="7.5" style="40" bestFit="1" customWidth="1"/>
    <col min="9732" max="9732" width="9.5" style="40" bestFit="1" customWidth="1"/>
    <col min="9733" max="9733" width="8.83203125" style="40"/>
    <col min="9734" max="9734" width="11.6640625" style="40" customWidth="1"/>
    <col min="9735" max="9735" width="8.83203125" style="40"/>
    <col min="9736" max="9737" width="6.6640625" style="40" bestFit="1" customWidth="1"/>
    <col min="9738" max="9985" width="8.83203125" style="40"/>
    <col min="9986" max="9986" width="34.6640625" style="40" customWidth="1"/>
    <col min="9987" max="9987" width="7.5" style="40" bestFit="1" customWidth="1"/>
    <col min="9988" max="9988" width="9.5" style="40" bestFit="1" customWidth="1"/>
    <col min="9989" max="9989" width="8.83203125" style="40"/>
    <col min="9990" max="9990" width="11.6640625" style="40" customWidth="1"/>
    <col min="9991" max="9991" width="8.83203125" style="40"/>
    <col min="9992" max="9993" width="6.6640625" style="40" bestFit="1" customWidth="1"/>
    <col min="9994" max="10241" width="8.83203125" style="40"/>
    <col min="10242" max="10242" width="34.6640625" style="40" customWidth="1"/>
    <col min="10243" max="10243" width="7.5" style="40" bestFit="1" customWidth="1"/>
    <col min="10244" max="10244" width="9.5" style="40" bestFit="1" customWidth="1"/>
    <col min="10245" max="10245" width="8.83203125" style="40"/>
    <col min="10246" max="10246" width="11.6640625" style="40" customWidth="1"/>
    <col min="10247" max="10247" width="8.83203125" style="40"/>
    <col min="10248" max="10249" width="6.6640625" style="40" bestFit="1" customWidth="1"/>
    <col min="10250" max="10497" width="8.83203125" style="40"/>
    <col min="10498" max="10498" width="34.6640625" style="40" customWidth="1"/>
    <col min="10499" max="10499" width="7.5" style="40" bestFit="1" customWidth="1"/>
    <col min="10500" max="10500" width="9.5" style="40" bestFit="1" customWidth="1"/>
    <col min="10501" max="10501" width="8.83203125" style="40"/>
    <col min="10502" max="10502" width="11.6640625" style="40" customWidth="1"/>
    <col min="10503" max="10503" width="8.83203125" style="40"/>
    <col min="10504" max="10505" width="6.6640625" style="40" bestFit="1" customWidth="1"/>
    <col min="10506" max="10753" width="8.83203125" style="40"/>
    <col min="10754" max="10754" width="34.6640625" style="40" customWidth="1"/>
    <col min="10755" max="10755" width="7.5" style="40" bestFit="1" customWidth="1"/>
    <col min="10756" max="10756" width="9.5" style="40" bestFit="1" customWidth="1"/>
    <col min="10757" max="10757" width="8.83203125" style="40"/>
    <col min="10758" max="10758" width="11.6640625" style="40" customWidth="1"/>
    <col min="10759" max="10759" width="8.83203125" style="40"/>
    <col min="10760" max="10761" width="6.6640625" style="40" bestFit="1" customWidth="1"/>
    <col min="10762" max="11009" width="8.83203125" style="40"/>
    <col min="11010" max="11010" width="34.6640625" style="40" customWidth="1"/>
    <col min="11011" max="11011" width="7.5" style="40" bestFit="1" customWidth="1"/>
    <col min="11012" max="11012" width="9.5" style="40" bestFit="1" customWidth="1"/>
    <col min="11013" max="11013" width="8.83203125" style="40"/>
    <col min="11014" max="11014" width="11.6640625" style="40" customWidth="1"/>
    <col min="11015" max="11015" width="8.83203125" style="40"/>
    <col min="11016" max="11017" width="6.6640625" style="40" bestFit="1" customWidth="1"/>
    <col min="11018" max="11265" width="8.83203125" style="40"/>
    <col min="11266" max="11266" width="34.6640625" style="40" customWidth="1"/>
    <col min="11267" max="11267" width="7.5" style="40" bestFit="1" customWidth="1"/>
    <col min="11268" max="11268" width="9.5" style="40" bestFit="1" customWidth="1"/>
    <col min="11269" max="11269" width="8.83203125" style="40"/>
    <col min="11270" max="11270" width="11.6640625" style="40" customWidth="1"/>
    <col min="11271" max="11271" width="8.83203125" style="40"/>
    <col min="11272" max="11273" width="6.6640625" style="40" bestFit="1" customWidth="1"/>
    <col min="11274" max="11521" width="8.83203125" style="40"/>
    <col min="11522" max="11522" width="34.6640625" style="40" customWidth="1"/>
    <col min="11523" max="11523" width="7.5" style="40" bestFit="1" customWidth="1"/>
    <col min="11524" max="11524" width="9.5" style="40" bestFit="1" customWidth="1"/>
    <col min="11525" max="11525" width="8.83203125" style="40"/>
    <col min="11526" max="11526" width="11.6640625" style="40" customWidth="1"/>
    <col min="11527" max="11527" width="8.83203125" style="40"/>
    <col min="11528" max="11529" width="6.6640625" style="40" bestFit="1" customWidth="1"/>
    <col min="11530" max="11777" width="8.83203125" style="40"/>
    <col min="11778" max="11778" width="34.6640625" style="40" customWidth="1"/>
    <col min="11779" max="11779" width="7.5" style="40" bestFit="1" customWidth="1"/>
    <col min="11780" max="11780" width="9.5" style="40" bestFit="1" customWidth="1"/>
    <col min="11781" max="11781" width="8.83203125" style="40"/>
    <col min="11782" max="11782" width="11.6640625" style="40" customWidth="1"/>
    <col min="11783" max="11783" width="8.83203125" style="40"/>
    <col min="11784" max="11785" width="6.6640625" style="40" bestFit="1" customWidth="1"/>
    <col min="11786" max="12033" width="8.83203125" style="40"/>
    <col min="12034" max="12034" width="34.6640625" style="40" customWidth="1"/>
    <col min="12035" max="12035" width="7.5" style="40" bestFit="1" customWidth="1"/>
    <col min="12036" max="12036" width="9.5" style="40" bestFit="1" customWidth="1"/>
    <col min="12037" max="12037" width="8.83203125" style="40"/>
    <col min="12038" max="12038" width="11.6640625" style="40" customWidth="1"/>
    <col min="12039" max="12039" width="8.83203125" style="40"/>
    <col min="12040" max="12041" width="6.6640625" style="40" bestFit="1" customWidth="1"/>
    <col min="12042" max="12289" width="8.83203125" style="40"/>
    <col min="12290" max="12290" width="34.6640625" style="40" customWidth="1"/>
    <col min="12291" max="12291" width="7.5" style="40" bestFit="1" customWidth="1"/>
    <col min="12292" max="12292" width="9.5" style="40" bestFit="1" customWidth="1"/>
    <col min="12293" max="12293" width="8.83203125" style="40"/>
    <col min="12294" max="12294" width="11.6640625" style="40" customWidth="1"/>
    <col min="12295" max="12295" width="8.83203125" style="40"/>
    <col min="12296" max="12297" width="6.6640625" style="40" bestFit="1" customWidth="1"/>
    <col min="12298" max="12545" width="8.83203125" style="40"/>
    <col min="12546" max="12546" width="34.6640625" style="40" customWidth="1"/>
    <col min="12547" max="12547" width="7.5" style="40" bestFit="1" customWidth="1"/>
    <col min="12548" max="12548" width="9.5" style="40" bestFit="1" customWidth="1"/>
    <col min="12549" max="12549" width="8.83203125" style="40"/>
    <col min="12550" max="12550" width="11.6640625" style="40" customWidth="1"/>
    <col min="12551" max="12551" width="8.83203125" style="40"/>
    <col min="12552" max="12553" width="6.6640625" style="40" bestFit="1" customWidth="1"/>
    <col min="12554" max="12801" width="8.83203125" style="40"/>
    <col min="12802" max="12802" width="34.6640625" style="40" customWidth="1"/>
    <col min="12803" max="12803" width="7.5" style="40" bestFit="1" customWidth="1"/>
    <col min="12804" max="12804" width="9.5" style="40" bestFit="1" customWidth="1"/>
    <col min="12805" max="12805" width="8.83203125" style="40"/>
    <col min="12806" max="12806" width="11.6640625" style="40" customWidth="1"/>
    <col min="12807" max="12807" width="8.83203125" style="40"/>
    <col min="12808" max="12809" width="6.6640625" style="40" bestFit="1" customWidth="1"/>
    <col min="12810" max="13057" width="8.83203125" style="40"/>
    <col min="13058" max="13058" width="34.6640625" style="40" customWidth="1"/>
    <col min="13059" max="13059" width="7.5" style="40" bestFit="1" customWidth="1"/>
    <col min="13060" max="13060" width="9.5" style="40" bestFit="1" customWidth="1"/>
    <col min="13061" max="13061" width="8.83203125" style="40"/>
    <col min="13062" max="13062" width="11.6640625" style="40" customWidth="1"/>
    <col min="13063" max="13063" width="8.83203125" style="40"/>
    <col min="13064" max="13065" width="6.6640625" style="40" bestFit="1" customWidth="1"/>
    <col min="13066" max="13313" width="8.83203125" style="40"/>
    <col min="13314" max="13314" width="34.6640625" style="40" customWidth="1"/>
    <col min="13315" max="13315" width="7.5" style="40" bestFit="1" customWidth="1"/>
    <col min="13316" max="13316" width="9.5" style="40" bestFit="1" customWidth="1"/>
    <col min="13317" max="13317" width="8.83203125" style="40"/>
    <col min="13318" max="13318" width="11.6640625" style="40" customWidth="1"/>
    <col min="13319" max="13319" width="8.83203125" style="40"/>
    <col min="13320" max="13321" width="6.6640625" style="40" bestFit="1" customWidth="1"/>
    <col min="13322" max="13569" width="8.83203125" style="40"/>
    <col min="13570" max="13570" width="34.6640625" style="40" customWidth="1"/>
    <col min="13571" max="13571" width="7.5" style="40" bestFit="1" customWidth="1"/>
    <col min="13572" max="13572" width="9.5" style="40" bestFit="1" customWidth="1"/>
    <col min="13573" max="13573" width="8.83203125" style="40"/>
    <col min="13574" max="13574" width="11.6640625" style="40" customWidth="1"/>
    <col min="13575" max="13575" width="8.83203125" style="40"/>
    <col min="13576" max="13577" width="6.6640625" style="40" bestFit="1" customWidth="1"/>
    <col min="13578" max="13825" width="8.83203125" style="40"/>
    <col min="13826" max="13826" width="34.6640625" style="40" customWidth="1"/>
    <col min="13827" max="13827" width="7.5" style="40" bestFit="1" customWidth="1"/>
    <col min="13828" max="13828" width="9.5" style="40" bestFit="1" customWidth="1"/>
    <col min="13829" max="13829" width="8.83203125" style="40"/>
    <col min="13830" max="13830" width="11.6640625" style="40" customWidth="1"/>
    <col min="13831" max="13831" width="8.83203125" style="40"/>
    <col min="13832" max="13833" width="6.6640625" style="40" bestFit="1" customWidth="1"/>
    <col min="13834" max="14081" width="8.83203125" style="40"/>
    <col min="14082" max="14082" width="34.6640625" style="40" customWidth="1"/>
    <col min="14083" max="14083" width="7.5" style="40" bestFit="1" customWidth="1"/>
    <col min="14084" max="14084" width="9.5" style="40" bestFit="1" customWidth="1"/>
    <col min="14085" max="14085" width="8.83203125" style="40"/>
    <col min="14086" max="14086" width="11.6640625" style="40" customWidth="1"/>
    <col min="14087" max="14087" width="8.83203125" style="40"/>
    <col min="14088" max="14089" width="6.6640625" style="40" bestFit="1" customWidth="1"/>
    <col min="14090" max="14337" width="8.83203125" style="40"/>
    <col min="14338" max="14338" width="34.6640625" style="40" customWidth="1"/>
    <col min="14339" max="14339" width="7.5" style="40" bestFit="1" customWidth="1"/>
    <col min="14340" max="14340" width="9.5" style="40" bestFit="1" customWidth="1"/>
    <col min="14341" max="14341" width="8.83203125" style="40"/>
    <col min="14342" max="14342" width="11.6640625" style="40" customWidth="1"/>
    <col min="14343" max="14343" width="8.83203125" style="40"/>
    <col min="14344" max="14345" width="6.6640625" style="40" bestFit="1" customWidth="1"/>
    <col min="14346" max="14593" width="8.83203125" style="40"/>
    <col min="14594" max="14594" width="34.6640625" style="40" customWidth="1"/>
    <col min="14595" max="14595" width="7.5" style="40" bestFit="1" customWidth="1"/>
    <col min="14596" max="14596" width="9.5" style="40" bestFit="1" customWidth="1"/>
    <col min="14597" max="14597" width="8.83203125" style="40"/>
    <col min="14598" max="14598" width="11.6640625" style="40" customWidth="1"/>
    <col min="14599" max="14599" width="8.83203125" style="40"/>
    <col min="14600" max="14601" width="6.6640625" style="40" bestFit="1" customWidth="1"/>
    <col min="14602" max="14849" width="8.83203125" style="40"/>
    <col min="14850" max="14850" width="34.6640625" style="40" customWidth="1"/>
    <col min="14851" max="14851" width="7.5" style="40" bestFit="1" customWidth="1"/>
    <col min="14852" max="14852" width="9.5" style="40" bestFit="1" customWidth="1"/>
    <col min="14853" max="14853" width="8.83203125" style="40"/>
    <col min="14854" max="14854" width="11.6640625" style="40" customWidth="1"/>
    <col min="14855" max="14855" width="8.83203125" style="40"/>
    <col min="14856" max="14857" width="6.6640625" style="40" bestFit="1" customWidth="1"/>
    <col min="14858" max="15105" width="8.83203125" style="40"/>
    <col min="15106" max="15106" width="34.6640625" style="40" customWidth="1"/>
    <col min="15107" max="15107" width="7.5" style="40" bestFit="1" customWidth="1"/>
    <col min="15108" max="15108" width="9.5" style="40" bestFit="1" customWidth="1"/>
    <col min="15109" max="15109" width="8.83203125" style="40"/>
    <col min="15110" max="15110" width="11.6640625" style="40" customWidth="1"/>
    <col min="15111" max="15111" width="8.83203125" style="40"/>
    <col min="15112" max="15113" width="6.6640625" style="40" bestFit="1" customWidth="1"/>
    <col min="15114" max="15361" width="8.83203125" style="40"/>
    <col min="15362" max="15362" width="34.6640625" style="40" customWidth="1"/>
    <col min="15363" max="15363" width="7.5" style="40" bestFit="1" customWidth="1"/>
    <col min="15364" max="15364" width="9.5" style="40" bestFit="1" customWidth="1"/>
    <col min="15365" max="15365" width="8.83203125" style="40"/>
    <col min="15366" max="15366" width="11.6640625" style="40" customWidth="1"/>
    <col min="15367" max="15367" width="8.83203125" style="40"/>
    <col min="15368" max="15369" width="6.6640625" style="40" bestFit="1" customWidth="1"/>
    <col min="15370" max="15617" width="8.83203125" style="40"/>
    <col min="15618" max="15618" width="34.6640625" style="40" customWidth="1"/>
    <col min="15619" max="15619" width="7.5" style="40" bestFit="1" customWidth="1"/>
    <col min="15620" max="15620" width="9.5" style="40" bestFit="1" customWidth="1"/>
    <col min="15621" max="15621" width="8.83203125" style="40"/>
    <col min="15622" max="15622" width="11.6640625" style="40" customWidth="1"/>
    <col min="15623" max="15623" width="8.83203125" style="40"/>
    <col min="15624" max="15625" width="6.6640625" style="40" bestFit="1" customWidth="1"/>
    <col min="15626" max="15873" width="8.83203125" style="40"/>
    <col min="15874" max="15874" width="34.6640625" style="40" customWidth="1"/>
    <col min="15875" max="15875" width="7.5" style="40" bestFit="1" customWidth="1"/>
    <col min="15876" max="15876" width="9.5" style="40" bestFit="1" customWidth="1"/>
    <col min="15877" max="15877" width="8.83203125" style="40"/>
    <col min="15878" max="15878" width="11.6640625" style="40" customWidth="1"/>
    <col min="15879" max="15879" width="8.83203125" style="40"/>
    <col min="15880" max="15881" width="6.6640625" style="40" bestFit="1" customWidth="1"/>
    <col min="15882" max="16129" width="8.83203125" style="40"/>
    <col min="16130" max="16130" width="34.6640625" style="40" customWidth="1"/>
    <col min="16131" max="16131" width="7.5" style="40" bestFit="1" customWidth="1"/>
    <col min="16132" max="16132" width="9.5" style="40" bestFit="1" customWidth="1"/>
    <col min="16133" max="16133" width="8.83203125" style="40"/>
    <col min="16134" max="16134" width="11.6640625" style="40" customWidth="1"/>
    <col min="16135" max="16135" width="8.83203125" style="40"/>
    <col min="16136" max="16137" width="6.6640625" style="40" bestFit="1" customWidth="1"/>
    <col min="16138" max="16384" width="8.83203125" style="40"/>
  </cols>
  <sheetData>
    <row r="1" spans="2:11" ht="70.5" customHeight="1">
      <c r="B1" s="59" t="str">
        <f>'1. Cow-Calf_InputForm'!F3&amp;" GRAIN - COST OF PRODUCTION"</f>
        <v>0 GRAIN - COST OF PRODUCTION</v>
      </c>
      <c r="C1" s="36"/>
      <c r="E1" s="37"/>
      <c r="G1" s="38"/>
      <c r="H1" s="37"/>
      <c r="I1" s="39"/>
      <c r="J1" s="39"/>
    </row>
    <row r="2" spans="2:11" ht="21">
      <c r="B2" s="59"/>
      <c r="C2" s="36"/>
      <c r="E2" s="37"/>
      <c r="G2" s="38"/>
      <c r="H2" s="37"/>
      <c r="I2" s="39"/>
      <c r="J2" s="39"/>
    </row>
    <row r="3" spans="2:11">
      <c r="B3" s="35" t="s">
        <v>520</v>
      </c>
      <c r="C3" s="36"/>
      <c r="D3" s="45">
        <f>'8. Grain_InputForm'!D20</f>
        <v>0</v>
      </c>
      <c r="E3" s="37"/>
      <c r="G3" s="565"/>
      <c r="H3" s="565"/>
      <c r="I3" s="565"/>
      <c r="J3" s="565"/>
      <c r="K3" s="37"/>
    </row>
    <row r="4" spans="2:11" ht="6" customHeight="1">
      <c r="B4" s="37"/>
      <c r="C4" s="36"/>
      <c r="D4" s="45"/>
      <c r="E4" s="37"/>
      <c r="G4" s="565"/>
      <c r="H4" s="565"/>
      <c r="I4" s="565"/>
      <c r="J4" s="565"/>
      <c r="K4" s="37"/>
    </row>
    <row r="5" spans="2:11">
      <c r="B5" s="41" t="s">
        <v>521</v>
      </c>
      <c r="C5" s="36"/>
      <c r="D5" s="52">
        <f>'8. Grain_InputForm'!H20</f>
        <v>0</v>
      </c>
      <c r="E5" s="43"/>
      <c r="F5" s="36"/>
      <c r="G5" s="36"/>
      <c r="H5" s="36"/>
      <c r="I5" s="109"/>
      <c r="J5" s="36"/>
      <c r="K5" s="36"/>
    </row>
    <row r="6" spans="2:11" ht="13">
      <c r="B6" s="41"/>
      <c r="C6" s="36"/>
      <c r="D6" s="47"/>
      <c r="E6" s="48"/>
      <c r="F6" s="55"/>
      <c r="G6" s="36"/>
      <c r="H6" s="36"/>
      <c r="I6" s="49"/>
      <c r="K6" s="60"/>
    </row>
    <row r="7" spans="2:11" ht="13">
      <c r="B7" s="41" t="s">
        <v>516</v>
      </c>
      <c r="C7" s="36"/>
      <c r="D7" s="47" t="s">
        <v>11</v>
      </c>
      <c r="E7" s="43" t="s">
        <v>236</v>
      </c>
      <c r="F7" s="55" t="s">
        <v>238</v>
      </c>
      <c r="G7" s="36"/>
      <c r="H7" s="36"/>
      <c r="I7" s="49"/>
      <c r="K7" s="60"/>
    </row>
    <row r="8" spans="2:11" ht="13">
      <c r="B8" s="566" t="s">
        <v>517</v>
      </c>
      <c r="C8" s="36"/>
      <c r="D8" s="567">
        <f>'8. Grain_InputForm'!R20</f>
        <v>0</v>
      </c>
      <c r="E8" s="48"/>
      <c r="F8" s="55"/>
      <c r="G8" s="36"/>
      <c r="H8" s="36"/>
      <c r="I8" s="49"/>
      <c r="K8" s="60"/>
    </row>
    <row r="9" spans="2:11" ht="13">
      <c r="B9" s="566" t="s">
        <v>518</v>
      </c>
      <c r="C9" s="36"/>
      <c r="D9" s="567">
        <f>'8. Grain_InputForm'!L20</f>
        <v>0</v>
      </c>
      <c r="E9" s="48"/>
      <c r="F9" s="55"/>
      <c r="G9" s="36"/>
      <c r="H9" s="36"/>
      <c r="I9" s="49"/>
      <c r="K9" s="60"/>
    </row>
    <row r="10" spans="2:11" ht="13">
      <c r="B10" s="41" t="s">
        <v>519</v>
      </c>
      <c r="C10" s="36"/>
      <c r="D10" s="567">
        <f>D8+D9</f>
        <v>0</v>
      </c>
      <c r="E10" s="48" t="e">
        <f>D10/$D$3</f>
        <v>#DIV/0!</v>
      </c>
      <c r="F10" s="55" t="e">
        <f>D10/$D$5</f>
        <v>#DIV/0!</v>
      </c>
      <c r="G10" s="36"/>
      <c r="H10" s="36"/>
      <c r="I10" s="49"/>
      <c r="K10" s="60"/>
    </row>
    <row r="11" spans="2:11" ht="13">
      <c r="B11" s="45"/>
      <c r="C11" s="36"/>
      <c r="D11" s="44"/>
      <c r="E11" s="45"/>
      <c r="F11" s="45"/>
      <c r="G11" s="50"/>
      <c r="H11" s="37"/>
      <c r="I11" s="39"/>
      <c r="J11" s="39"/>
      <c r="K11" s="56"/>
    </row>
    <row r="12" spans="2:11" ht="13">
      <c r="B12" s="42" t="s">
        <v>82</v>
      </c>
      <c r="C12" s="43"/>
      <c r="D12" s="47" t="s">
        <v>11</v>
      </c>
      <c r="E12" s="43" t="s">
        <v>236</v>
      </c>
      <c r="F12" s="43" t="s">
        <v>238</v>
      </c>
      <c r="G12" s="43"/>
      <c r="H12" s="51"/>
      <c r="I12" s="39"/>
      <c r="J12" s="39"/>
    </row>
    <row r="13" spans="2:11" ht="13">
      <c r="B13" s="51" t="s">
        <v>73</v>
      </c>
      <c r="C13" s="43"/>
      <c r="D13" s="44">
        <f>'10. Expenses'!AP117</f>
        <v>0</v>
      </c>
      <c r="E13" s="52" t="e">
        <f>D13/$D$3</f>
        <v>#DIV/0!</v>
      </c>
      <c r="F13" s="55" t="e">
        <f>D13/$D$5</f>
        <v>#DIV/0!</v>
      </c>
      <c r="G13" s="46"/>
      <c r="H13" s="51"/>
      <c r="I13" s="39"/>
      <c r="J13" s="39"/>
    </row>
    <row r="14" spans="2:11" ht="13">
      <c r="B14" s="51" t="s">
        <v>84</v>
      </c>
      <c r="C14" s="43"/>
      <c r="D14" s="44">
        <f>'10. Expenses'!AP118</f>
        <v>0</v>
      </c>
      <c r="E14" s="52" t="e">
        <f t="shared" ref="E14:E30" si="0">D14/$D$3</f>
        <v>#DIV/0!</v>
      </c>
      <c r="F14" s="55" t="e">
        <f t="shared" ref="F14:F30" si="1">D14/$D$5</f>
        <v>#DIV/0!</v>
      </c>
      <c r="G14" s="46"/>
      <c r="H14" s="51"/>
      <c r="I14" s="39"/>
      <c r="J14" s="39"/>
    </row>
    <row r="15" spans="2:11" ht="13">
      <c r="B15" s="51" t="s">
        <v>74</v>
      </c>
      <c r="C15" s="43"/>
      <c r="D15" s="44">
        <f>'10. Expenses'!AP119</f>
        <v>0</v>
      </c>
      <c r="E15" s="52" t="e">
        <f t="shared" si="0"/>
        <v>#DIV/0!</v>
      </c>
      <c r="F15" s="55" t="e">
        <f t="shared" si="1"/>
        <v>#DIV/0!</v>
      </c>
      <c r="G15" s="46"/>
      <c r="H15" s="51"/>
      <c r="I15" s="39"/>
      <c r="J15" s="39"/>
    </row>
    <row r="16" spans="2:11" ht="13">
      <c r="B16" s="51" t="s">
        <v>145</v>
      </c>
      <c r="C16" s="43"/>
      <c r="D16" s="44">
        <f>'10. Expenses'!L42</f>
        <v>0</v>
      </c>
      <c r="E16" s="52" t="e">
        <f t="shared" si="0"/>
        <v>#DIV/0!</v>
      </c>
      <c r="F16" s="55" t="e">
        <f t="shared" si="1"/>
        <v>#DIV/0!</v>
      </c>
      <c r="G16" s="46"/>
      <c r="H16" s="51"/>
      <c r="I16" s="39"/>
      <c r="J16" s="39"/>
    </row>
    <row r="17" spans="2:10" ht="13">
      <c r="B17" s="51" t="s">
        <v>26</v>
      </c>
      <c r="C17" s="43"/>
      <c r="D17" s="44">
        <f>'10. Expenses'!L55</f>
        <v>0</v>
      </c>
      <c r="E17" s="52" t="e">
        <f t="shared" si="0"/>
        <v>#DIV/0!</v>
      </c>
      <c r="F17" s="55" t="e">
        <f t="shared" si="1"/>
        <v>#DIV/0!</v>
      </c>
      <c r="G17" s="46"/>
      <c r="H17" s="51"/>
      <c r="I17" s="39"/>
      <c r="J17" s="39"/>
    </row>
    <row r="18" spans="2:10" ht="13">
      <c r="B18" s="51" t="s">
        <v>25</v>
      </c>
      <c r="C18" s="43"/>
      <c r="D18" s="44">
        <f>'10. Expenses'!L62</f>
        <v>0</v>
      </c>
      <c r="E18" s="52" t="e">
        <f t="shared" si="0"/>
        <v>#DIV/0!</v>
      </c>
      <c r="F18" s="55" t="e">
        <f t="shared" si="1"/>
        <v>#DIV/0!</v>
      </c>
      <c r="G18" s="46"/>
      <c r="H18" s="51"/>
      <c r="I18" s="39"/>
      <c r="J18" s="39"/>
    </row>
    <row r="19" spans="2:10" ht="13">
      <c r="B19" s="51" t="s">
        <v>146</v>
      </c>
      <c r="C19" s="43"/>
      <c r="D19" s="44" t="e">
        <f>'10. Expenses'!L75</f>
        <v>#DIV/0!</v>
      </c>
      <c r="E19" s="52" t="e">
        <f t="shared" si="0"/>
        <v>#DIV/0!</v>
      </c>
      <c r="F19" s="55" t="e">
        <f t="shared" si="1"/>
        <v>#DIV/0!</v>
      </c>
      <c r="G19" s="46"/>
      <c r="H19" s="51"/>
      <c r="I19" s="39"/>
      <c r="J19" s="39"/>
    </row>
    <row r="20" spans="2:10" ht="13">
      <c r="B20" s="51" t="s">
        <v>23</v>
      </c>
      <c r="C20" s="43"/>
      <c r="D20" s="44" t="e">
        <f>'10. Expenses'!L82</f>
        <v>#DIV/0!</v>
      </c>
      <c r="E20" s="52" t="e">
        <f t="shared" si="0"/>
        <v>#DIV/0!</v>
      </c>
      <c r="F20" s="55" t="e">
        <f t="shared" si="1"/>
        <v>#DIV/0!</v>
      </c>
      <c r="G20" s="46"/>
      <c r="H20" s="51"/>
      <c r="I20" s="39"/>
      <c r="J20" s="39"/>
    </row>
    <row r="21" spans="2:10" ht="13">
      <c r="B21" s="51" t="s">
        <v>75</v>
      </c>
      <c r="C21" s="43"/>
      <c r="D21" s="44" t="e">
        <f>'10. Expenses'!L114</f>
        <v>#DIV/0!</v>
      </c>
      <c r="E21" s="52" t="e">
        <f t="shared" si="0"/>
        <v>#DIV/0!</v>
      </c>
      <c r="F21" s="55" t="e">
        <f t="shared" si="1"/>
        <v>#DIV/0!</v>
      </c>
      <c r="G21" s="46"/>
      <c r="H21" s="51"/>
      <c r="I21" s="39"/>
      <c r="J21" s="39"/>
    </row>
    <row r="22" spans="2:10" ht="13">
      <c r="B22" s="51" t="s">
        <v>14</v>
      </c>
      <c r="C22" s="43"/>
      <c r="D22" s="44" t="e">
        <f>'10. Expenses'!AP106+'10. Expenses'!AP107</f>
        <v>#DIV/0!</v>
      </c>
      <c r="E22" s="52" t="e">
        <f t="shared" si="0"/>
        <v>#DIV/0!</v>
      </c>
      <c r="F22" s="55" t="e">
        <f t="shared" si="1"/>
        <v>#DIV/0!</v>
      </c>
      <c r="G22" s="46"/>
      <c r="H22" s="51"/>
      <c r="I22" s="39"/>
      <c r="J22" s="39"/>
    </row>
    <row r="23" spans="2:10" ht="13">
      <c r="B23" s="51" t="s">
        <v>22</v>
      </c>
      <c r="C23" s="43"/>
      <c r="D23" s="44">
        <f>'10. Expenses'!L87</f>
        <v>0</v>
      </c>
      <c r="E23" s="52" t="e">
        <f t="shared" si="0"/>
        <v>#DIV/0!</v>
      </c>
      <c r="F23" s="55" t="e">
        <f t="shared" si="1"/>
        <v>#DIV/0!</v>
      </c>
      <c r="G23" s="46"/>
      <c r="H23" s="51"/>
      <c r="I23" s="39"/>
      <c r="J23" s="39"/>
    </row>
    <row r="24" spans="2:10" ht="13">
      <c r="B24" s="51" t="s">
        <v>150</v>
      </c>
      <c r="C24" s="43"/>
      <c r="D24" s="44">
        <f>'11. Unpaid Labour'!N8</f>
        <v>0</v>
      </c>
      <c r="E24" s="52" t="e">
        <f t="shared" si="0"/>
        <v>#DIV/0!</v>
      </c>
      <c r="F24" s="55" t="e">
        <f t="shared" si="1"/>
        <v>#DIV/0!</v>
      </c>
      <c r="G24" s="46"/>
      <c r="H24" s="51"/>
      <c r="I24" s="39"/>
      <c r="J24" s="39"/>
    </row>
    <row r="25" spans="2:10" ht="13">
      <c r="B25" s="51" t="s">
        <v>21</v>
      </c>
      <c r="C25" s="43"/>
      <c r="D25" s="44" t="e">
        <f>'10. Expenses'!L97-'10. Expenses'!AP92</f>
        <v>#DIV/0!</v>
      </c>
      <c r="E25" s="52" t="e">
        <f t="shared" si="0"/>
        <v>#DIV/0!</v>
      </c>
      <c r="F25" s="55" t="e">
        <f t="shared" si="1"/>
        <v>#DIV/0!</v>
      </c>
      <c r="G25" s="46"/>
      <c r="H25" s="51"/>
      <c r="I25" s="39"/>
      <c r="J25" s="39"/>
    </row>
    <row r="26" spans="2:10" ht="13">
      <c r="B26" s="51" t="s">
        <v>20</v>
      </c>
      <c r="C26" s="43"/>
      <c r="D26" s="44" t="e">
        <f>'12. Assets_for Depreciation'!N26+'12. Assets_for Depreciation'!N51+'12. Assets_for Depreciation'!N86</f>
        <v>#DIV/0!</v>
      </c>
      <c r="E26" s="52" t="e">
        <f t="shared" si="0"/>
        <v>#DIV/0!</v>
      </c>
      <c r="F26" s="55" t="e">
        <f t="shared" si="1"/>
        <v>#DIV/0!</v>
      </c>
      <c r="G26" s="46"/>
      <c r="H26" s="51"/>
      <c r="I26" s="39"/>
      <c r="J26" s="39"/>
    </row>
    <row r="27" spans="2:10" ht="13">
      <c r="B27" s="51" t="s">
        <v>147</v>
      </c>
      <c r="C27" s="43"/>
      <c r="D27" s="44" t="e">
        <f>'10. Expenses'!AP105</f>
        <v>#DIV/0!</v>
      </c>
      <c r="E27" s="52" t="e">
        <f t="shared" si="0"/>
        <v>#DIV/0!</v>
      </c>
      <c r="F27" s="55" t="e">
        <f t="shared" si="1"/>
        <v>#DIV/0!</v>
      </c>
      <c r="G27" s="46"/>
      <c r="H27" s="51"/>
      <c r="I27" s="39"/>
      <c r="J27" s="39"/>
    </row>
    <row r="28" spans="2:10" ht="13">
      <c r="B28" s="51" t="s">
        <v>76</v>
      </c>
      <c r="C28" s="43"/>
      <c r="D28" s="44">
        <f>'10. Expenses'!AP92</f>
        <v>0</v>
      </c>
      <c r="E28" s="52" t="e">
        <f t="shared" si="0"/>
        <v>#DIV/0!</v>
      </c>
      <c r="F28" s="55" t="e">
        <f t="shared" si="1"/>
        <v>#DIV/0!</v>
      </c>
      <c r="G28" s="46"/>
      <c r="H28" s="51"/>
      <c r="I28" s="39"/>
      <c r="J28" s="39"/>
    </row>
    <row r="29" spans="2:10" ht="13">
      <c r="B29" s="51" t="s">
        <v>198</v>
      </c>
      <c r="C29" s="43"/>
      <c r="D29" s="44">
        <f>'10. Expenses'!L133</f>
        <v>0</v>
      </c>
      <c r="E29" s="52" t="e">
        <f t="shared" si="0"/>
        <v>#DIV/0!</v>
      </c>
      <c r="F29" s="55" t="e">
        <f t="shared" si="1"/>
        <v>#DIV/0!</v>
      </c>
      <c r="G29" s="46"/>
      <c r="H29" s="51"/>
      <c r="I29" s="39"/>
      <c r="J29" s="39"/>
    </row>
    <row r="30" spans="2:10" ht="13">
      <c r="B30" s="51" t="s">
        <v>19</v>
      </c>
      <c r="C30" s="43"/>
      <c r="D30" s="44">
        <f>'10. Expenses'!L102</f>
        <v>0</v>
      </c>
      <c r="E30" s="52" t="e">
        <f t="shared" si="0"/>
        <v>#DIV/0!</v>
      </c>
      <c r="F30" s="55" t="e">
        <f t="shared" si="1"/>
        <v>#DIV/0!</v>
      </c>
      <c r="G30" s="46"/>
      <c r="H30" s="51"/>
      <c r="I30" s="39"/>
      <c r="J30" s="39"/>
    </row>
    <row r="31" spans="2:10" ht="13">
      <c r="B31" s="42" t="s">
        <v>83</v>
      </c>
      <c r="C31" s="43" t="s">
        <v>28</v>
      </c>
      <c r="D31" s="47" t="e">
        <f>SUM(D13:D30)</f>
        <v>#DIV/0!</v>
      </c>
      <c r="E31" s="47" t="e">
        <f>SUM(E13:E30)</f>
        <v>#DIV/0!</v>
      </c>
      <c r="F31" s="47" t="e">
        <f>SUM(F13:F30)</f>
        <v>#DIV/0!</v>
      </c>
      <c r="G31" s="47"/>
      <c r="H31" s="51"/>
      <c r="I31" s="39"/>
      <c r="J31" s="39"/>
    </row>
    <row r="32" spans="2:10" ht="13">
      <c r="B32" s="37"/>
      <c r="C32" s="36"/>
      <c r="D32" s="45"/>
      <c r="E32" s="37"/>
      <c r="F32" s="37"/>
      <c r="G32" s="51"/>
      <c r="H32" s="51"/>
      <c r="I32" s="39"/>
      <c r="J32" s="39"/>
    </row>
    <row r="33" spans="2:10" ht="13">
      <c r="B33" s="42"/>
      <c r="C33" s="43"/>
      <c r="D33" s="47" t="s">
        <v>11</v>
      </c>
      <c r="E33" s="43" t="s">
        <v>236</v>
      </c>
      <c r="F33" s="43" t="s">
        <v>238</v>
      </c>
      <c r="G33" s="43"/>
      <c r="H33" s="51"/>
      <c r="I33" s="39"/>
      <c r="J33" s="39"/>
    </row>
    <row r="34" spans="2:10" ht="13">
      <c r="B34" s="42" t="s">
        <v>77</v>
      </c>
      <c r="C34" s="43" t="s">
        <v>17</v>
      </c>
      <c r="D34" s="47" t="e">
        <f>D31-D24</f>
        <v>#DIV/0!</v>
      </c>
      <c r="E34" s="48" t="e">
        <f>E31-E24</f>
        <v>#DIV/0!</v>
      </c>
      <c r="F34" s="48" t="e">
        <f>F31-F24</f>
        <v>#DIV/0!</v>
      </c>
      <c r="G34" s="48"/>
      <c r="H34" s="51"/>
      <c r="I34" s="39"/>
      <c r="J34" s="39"/>
    </row>
    <row r="35" spans="2:10" ht="13">
      <c r="B35" s="35" t="s">
        <v>4</v>
      </c>
      <c r="C35" s="36" t="s">
        <v>78</v>
      </c>
      <c r="D35" s="47" t="e">
        <f>D10-D31</f>
        <v>#DIV/0!</v>
      </c>
      <c r="E35" s="61" t="e">
        <f>E10-E31</f>
        <v>#DIV/0!</v>
      </c>
      <c r="F35" s="48" t="e">
        <f>F10-F31</f>
        <v>#DIV/0!</v>
      </c>
      <c r="G35" s="48"/>
      <c r="H35" s="51"/>
      <c r="I35" s="39"/>
      <c r="J35" s="39"/>
    </row>
    <row r="36" spans="2:10" ht="13">
      <c r="B36" s="35" t="s">
        <v>2</v>
      </c>
      <c r="C36" s="36" t="s">
        <v>79</v>
      </c>
      <c r="D36" s="47" t="e">
        <f>D35+D24</f>
        <v>#DIV/0!</v>
      </c>
      <c r="E36" s="48" t="e">
        <f>E35+E24</f>
        <v>#DIV/0!</v>
      </c>
      <c r="F36" s="48" t="e">
        <f>F35+F24</f>
        <v>#DIV/0!</v>
      </c>
      <c r="G36" s="48"/>
      <c r="H36" s="51"/>
      <c r="I36" s="39"/>
      <c r="J36" s="39"/>
    </row>
    <row r="38" spans="2:10">
      <c r="B38" s="53"/>
    </row>
  </sheetData>
  <sheetCalcPr fullCalcOnLoad="1"/>
  <sheetProtection sheet="1" objects="1" scenarios="1"/>
  <pageMargins left="0.7" right="0.7" top="0.75" bottom="0.75" header="0.3" footer="0.3"/>
  <headerFooter>
    <oddFooter>&amp;L&amp;A&amp;R&amp;D</oddFooter>
  </headerFooter>
  <drawing r:id="rId1"/>
  <extLst>
    <ext xmlns:mx="http://schemas.microsoft.com/office/mac/excel/2008/main" uri="http://schemas.microsoft.com/office/mac/excel/2008/main">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theme="5" tint="0.59999389629810485"/>
    <pageSetUpPr fitToPage="1"/>
  </sheetPr>
  <dimension ref="B1:O18"/>
  <sheetViews>
    <sheetView showGridLines="0" showRowColHeaders="0" workbookViewId="0">
      <selection activeCell="B4" sqref="B4"/>
    </sheetView>
  </sheetViews>
  <sheetFormatPr baseColWidth="10" defaultColWidth="8.83203125" defaultRowHeight="14"/>
  <cols>
    <col min="1" max="1" width="4.5" customWidth="1"/>
    <col min="2" max="2" width="22.5" customWidth="1"/>
    <col min="3" max="6" width="12.1640625" customWidth="1"/>
    <col min="7" max="7" width="12.5" customWidth="1"/>
    <col min="8" max="8" width="14.6640625" customWidth="1"/>
    <col min="9" max="9" width="12.1640625" customWidth="1"/>
    <col min="10" max="10" width="5.33203125" style="3" customWidth="1"/>
    <col min="11" max="11" width="10.1640625" style="2" customWidth="1"/>
    <col min="12" max="12" width="22" customWidth="1"/>
    <col min="13" max="13" width="4.1640625" customWidth="1"/>
  </cols>
  <sheetData>
    <row r="1" spans="2:15" ht="62.25" customHeight="1">
      <c r="B1" s="59" t="s">
        <v>138</v>
      </c>
      <c r="C1" s="36"/>
      <c r="D1" s="54"/>
      <c r="E1" s="37"/>
      <c r="F1" s="40"/>
      <c r="G1" s="38"/>
      <c r="H1" s="37"/>
      <c r="I1" s="39"/>
      <c r="J1" s="140"/>
      <c r="K1" s="137"/>
      <c r="L1" s="39"/>
      <c r="M1" s="39"/>
      <c r="N1" s="40"/>
      <c r="O1" s="40"/>
    </row>
    <row r="3" spans="2:15" ht="34.5" customHeight="1">
      <c r="B3" s="119" t="s">
        <v>139</v>
      </c>
      <c r="C3" s="121" t="s">
        <v>140</v>
      </c>
      <c r="D3" s="121" t="s">
        <v>308</v>
      </c>
      <c r="E3" s="121" t="s">
        <v>309</v>
      </c>
      <c r="F3" s="121" t="s">
        <v>310</v>
      </c>
      <c r="G3" s="121" t="s">
        <v>311</v>
      </c>
      <c r="H3" s="121" t="s">
        <v>312</v>
      </c>
      <c r="I3" s="121" t="s">
        <v>313</v>
      </c>
      <c r="J3" s="130"/>
      <c r="K3" s="120" t="s">
        <v>161</v>
      </c>
      <c r="L3" s="120" t="s">
        <v>163</v>
      </c>
      <c r="M3" s="130"/>
      <c r="N3" s="131" t="s">
        <v>162</v>
      </c>
    </row>
    <row r="4" spans="2:15" ht="22.5" customHeight="1">
      <c r="B4" t="str">
        <f>IF('About My Ranch'!D6="X","Cows","")</f>
        <v>Cows</v>
      </c>
      <c r="C4" s="122">
        <f>IF('About My Ranch'!D6="X",'1. Cow-Calf_InputForm'!H71+'1. Cow-Calf_InputForm'!H73+'1. Cow-Calf_InputForm'!H75+('1. Cow-Calf_InputForm'!D56*'1. Cow-Calf_InputForm'!F56*'1. Cow-Calf_InputForm'!H56)+('1. Cow-Calf_InputForm'!J56*'1. Cow-Calf_InputForm'!L56*'1. Cow-Calf_InputForm'!N56),"")</f>
        <v>0</v>
      </c>
      <c r="D4" s="124">
        <f>IF('About My Ranch'!D6="X",C4+('1. Cow-Calf_InputForm'!D58*'1. Cow-Calf_InputForm'!F58*'1. Cow-Calf_InputForm'!H58)+('1. Cow-Calf_InputForm'!J58*'1. Cow-Calf_InputForm'!L58*'1. Cow-Calf_InputForm'!N58)+('1. Cow-Calf_InputForm'!D62*'1. Cow-Calf_InputForm'!F62*'1. Cow-Calf_InputForm'!H62)+('1. Cow-Calf_InputForm'!J60*'1. Cow-Calf_InputForm'!L60*'1. Cow-Calf_InputForm'!N60),"")</f>
        <v>0</v>
      </c>
      <c r="E4" s="124" t="e">
        <f>IF('About My Ranch'!D6="X",'Cow-calf CoP'!G44-'Cow-calf CoP'!G33-'Cow-calf CoP'!G31,"")</f>
        <v>#DIV/0!</v>
      </c>
      <c r="F4" s="124" t="e">
        <f>IF('About My Ranch'!D6="X",'Cow-calf CoP'!G44,"")</f>
        <v>#DIV/0!</v>
      </c>
      <c r="G4" s="124" t="e">
        <f>IF('About My Ranch'!D6="X",C4-E4,"")</f>
        <v>#DIV/0!</v>
      </c>
      <c r="H4" s="124" t="e">
        <f>IF('About My Ranch'!D6="X",D4-'Cow-calf CoP'!G44+'Cow-calf CoP'!G32+'Cow-calf CoP'!G33+'Cow-calf CoP'!G34+'Cow-calf CoP'!G38,"")</f>
        <v>#DIV/0!</v>
      </c>
      <c r="I4" s="124" t="e">
        <f>IF('About My Ranch'!D6="X",D4-F4,"")</f>
        <v>#DIV/0!</v>
      </c>
      <c r="J4" s="126"/>
      <c r="K4" s="132" t="e">
        <f>IF('About My Ranch'!D6="X",F4/'Cow-calf CoP'!G5,"")</f>
        <v>#DIV/0!</v>
      </c>
      <c r="L4" s="134" t="str">
        <f>IF('About My Ranch'!D6="X","$/lb of weaned calf","")</f>
        <v>$/lb of weaned calf</v>
      </c>
      <c r="M4" s="123"/>
      <c r="N4" s="4" t="s">
        <v>318</v>
      </c>
    </row>
    <row r="5" spans="2:15" ht="22.5" customHeight="1">
      <c r="B5" t="str">
        <f>IF('About My Ranch'!$D$7="X","Replacement Heifers","")</f>
        <v/>
      </c>
      <c r="C5" s="124" t="str">
        <f>IF('About My Ranch'!$D$7="X",'Repl Heifer CoP'!G11,"")</f>
        <v/>
      </c>
      <c r="D5" s="124" t="str">
        <f>IF('About My Ranch'!$D$7="X",'Repl Heifer CoP'!G13,"")</f>
        <v/>
      </c>
      <c r="E5" s="124" t="str">
        <f>IF('About My Ranch'!$D$7="X",'Repl Heifer CoP'!G45-'Repl Heifer CoP'!G34-'Repl Heifer CoP'!G32-'Repl Heifer CoP'!G16-SUM('2a. Replacement_InputForm'!H56:H60)-SUM('2a. Replacement_InputForm'!F44:F48),"")</f>
        <v/>
      </c>
      <c r="F5" s="124" t="str">
        <f>IF('About My Ranch'!$D$7="X",'Repl Heifer CoP'!G45,"")</f>
        <v/>
      </c>
      <c r="G5" s="124" t="str">
        <f>IF('About My Ranch'!$D$7="X",C5-E5,"")</f>
        <v/>
      </c>
      <c r="H5" s="124" t="str">
        <f>IF('About My Ranch'!$D$7="X",D5-'Repl Heifer CoP'!G45+'Repl Heifer CoP'!G33+'Repl Heifer CoP'!G34+'Repl Heifer CoP'!G35+'Repl Heifer CoP'!G39,"")</f>
        <v/>
      </c>
      <c r="I5" s="124" t="str">
        <f>IF('About My Ranch'!$D$7="X",D5-F5,"")</f>
        <v/>
      </c>
      <c r="J5" s="126"/>
      <c r="K5" s="133" t="str">
        <f>IF('About My Ranch'!$D$7="X",F5/'Repl Heifer CoP'!F3,"")</f>
        <v/>
      </c>
      <c r="L5" s="136" t="str">
        <f>IF('About My Ranch'!$D$7="X","$/head","")</f>
        <v/>
      </c>
    </row>
    <row r="6" spans="2:15" ht="22.5" customHeight="1">
      <c r="B6" t="str">
        <f>IF('About My Ranch'!$D$8="X","Ranch-Raised Bulls","")</f>
        <v/>
      </c>
      <c r="C6" s="124" t="str">
        <f>IF('About My Ranch'!D8="X",'RanchRaised Bull CoP'!G10,"")</f>
        <v/>
      </c>
      <c r="D6" s="124" t="str">
        <f>IF('About My Ranch'!D8="X",'RanchRaised Bull CoP'!G12,"")</f>
        <v/>
      </c>
      <c r="E6" s="124" t="str">
        <f>IF('About My Ranch'!D8="X",'RanchRaised Bull CoP'!G43-'RanchRaised Bull CoP'!G32-'RanchRaised Bull CoP'!G30-SUM('2b. HomeRaisedBulls_InputForm'!H50:H54)-SUM('2b. HomeRaisedBulls_InputForm'!F39:F43)-('2b. HomeRaisedBulls_InputForm'!D13*'2b. HomeRaisedBulls_InputForm'!D15),"")</f>
        <v/>
      </c>
      <c r="F6" s="124" t="str">
        <f>IF('About My Ranch'!D8="X",'RanchRaised Bull CoP'!G43,"")</f>
        <v/>
      </c>
      <c r="G6" s="124" t="str">
        <f>IF('About My Ranch'!D8="X",C6-E6,"")</f>
        <v/>
      </c>
      <c r="H6" s="124" t="str">
        <f>IF('About My Ranch'!D8="X",D6-F6+'RanchRaised Bull CoP'!G31+'RanchRaised Bull CoP'!G32+'RanchRaised Bull CoP'!G33+'RanchRaised Bull CoP'!G37,"")</f>
        <v/>
      </c>
      <c r="I6" s="124" t="str">
        <f>IF('About My Ranch'!D8="X",D6-F6,"")</f>
        <v/>
      </c>
      <c r="J6" s="126"/>
      <c r="K6" s="133" t="str">
        <f>IF('About My Ranch'!D8="X",'RanchRaised Bull CoP'!H43,"")</f>
        <v/>
      </c>
      <c r="L6" s="135" t="str">
        <f>IF('About My Ranch'!D8="X","$/head","")</f>
        <v/>
      </c>
    </row>
    <row r="7" spans="2:15" ht="22.5" customHeight="1">
      <c r="B7" t="str">
        <f>IF('About My Ranch'!$D$9="X","Backgrounders","")</f>
        <v/>
      </c>
      <c r="C7" s="124" t="str">
        <f>IF('About My Ranch'!$D$9="X",'Bckgrdr CoP'!G11,"")</f>
        <v/>
      </c>
      <c r="D7" s="124" t="str">
        <f>IF('About My Ranch'!$D$9="X",'Bckgrdr CoP'!G13,"")</f>
        <v/>
      </c>
      <c r="E7" s="124" t="str">
        <f>IF('About My Ranch'!$D$9="X",'Bckgrdr CoP'!G43-'Bckgrdr CoP'!G32-'Bckgrdr CoP'!G30-'Bckgrdr CoP'!G16-SUM('3. Backgrounder_InputForm'!F46:F50),"")</f>
        <v/>
      </c>
      <c r="F7" s="124" t="str">
        <f>IF('About My Ranch'!$D$9="X",'Bckgrdr CoP'!G43,"")</f>
        <v/>
      </c>
      <c r="G7" s="124" t="str">
        <f>IF('About My Ranch'!$D$9="X",C7-E7,"")</f>
        <v/>
      </c>
      <c r="H7" s="124" t="str">
        <f>IF('About My Ranch'!$D$9="X",D7-F7+'Bckgrdr CoP'!G31+'Bckgrdr CoP'!G32+'Bckgrdr CoP'!G33+'Bckgrdr CoP'!G37,"")</f>
        <v/>
      </c>
      <c r="I7" s="124" t="str">
        <f>IF('About My Ranch'!$D$9="X",D7-F7,"")</f>
        <v/>
      </c>
      <c r="J7" s="126"/>
      <c r="K7" s="132" t="str">
        <f>IF('About My Ranch'!$D$9="X",(F7-'Bckgrdr CoP'!G16)/'Bckgrdr CoP'!F6,"")</f>
        <v/>
      </c>
      <c r="L7" s="136" t="str">
        <f>IF('About My Ranch'!$D$9="X","$/lb of gain","")</f>
        <v/>
      </c>
      <c r="M7" s="124"/>
    </row>
    <row r="8" spans="2:15" ht="22.5" customHeight="1">
      <c r="B8" t="str">
        <f>IF('About My Ranch'!D10="X","Grassers","")</f>
        <v/>
      </c>
      <c r="C8" s="124" t="str">
        <f>IF('About My Ranch'!D10="X",'Grasser CoP'!$G$11,"")</f>
        <v/>
      </c>
      <c r="D8" s="124" t="str">
        <f>IF('About My Ranch'!D10="X",'Grasser CoP'!$G$13,"")</f>
        <v/>
      </c>
      <c r="E8" s="124" t="str">
        <f>IF('About My Ranch'!D10="X",'Grasser CoP'!$G$43-'Grasser CoP'!$G$32-'Grasser CoP'!$G$30-'Grasser CoP'!$G$16-SUM('4. Grasser_InputForm'!H45:H49),"")</f>
        <v/>
      </c>
      <c r="F8" s="124" t="str">
        <f>IF('About My Ranch'!D10="X",'Grasser CoP'!$G$43,"")</f>
        <v/>
      </c>
      <c r="G8" s="124" t="str">
        <f>IF('About My Ranch'!D10="X",C8-E8,"")</f>
        <v/>
      </c>
      <c r="H8" s="124" t="str">
        <f>IF('About My Ranch'!D10="X",D8-F8+'Grasser CoP'!$G$32+'Grasser CoP'!$G$31+'Grasser CoP'!$G$33+'Grasser CoP'!$G$37,"")</f>
        <v/>
      </c>
      <c r="I8" s="124" t="str">
        <f>IF('About My Ranch'!D10="X",D8-F8,"")</f>
        <v/>
      </c>
      <c r="J8" s="126"/>
      <c r="K8" s="132" t="str">
        <f>IF('About My Ranch'!D10="X",'Grasser CoP'!I43,"")</f>
        <v/>
      </c>
      <c r="L8" s="136" t="str">
        <f>IF('About My Ranch'!D10="X","$/lb of gain","")</f>
        <v/>
      </c>
      <c r="M8" s="124"/>
    </row>
    <row r="9" spans="2:15" ht="22.5" customHeight="1">
      <c r="B9" t="str">
        <f>IF('About My Ranch'!D12="X","Forage","")</f>
        <v/>
      </c>
      <c r="C9" s="821" t="str">
        <f>IF('About My Ranch'!D12="X",'Forage CoP'!D7,"")</f>
        <v/>
      </c>
      <c r="D9" s="124" t="str">
        <f>IF('About My Ranch'!D12="X",'7. Forage_InputForm'!$L$17,"")</f>
        <v/>
      </c>
      <c r="E9" s="124" t="str">
        <f>IF('About My Ranch'!D12="X",'Forage CoP'!D34-'Forage CoP'!D26-'Forage CoP'!D24,"")</f>
        <v/>
      </c>
      <c r="F9" s="124" t="str">
        <f>IF('About My Ranch'!D12="X",'Forage CoP'!D34,"")</f>
        <v/>
      </c>
      <c r="G9" s="124" t="str">
        <f>IF('About My Ranch'!D12="X",C9-E9,"")</f>
        <v/>
      </c>
      <c r="H9" s="124" t="str">
        <f>IF('About My Ranch'!D12="X",D9-F9+'Forage CoP'!D25+'Forage CoP'!D26+'Forage CoP'!D27,"")</f>
        <v/>
      </c>
      <c r="I9" s="124" t="str">
        <f>IF('About My Ranch'!D12="X",D9-F9,"")</f>
        <v/>
      </c>
      <c r="J9" s="126"/>
      <c r="K9" s="133" t="str">
        <f>IF('About My Ranch'!D12="X",'Forage CoP'!F31,"")</f>
        <v/>
      </c>
      <c r="L9" s="136" t="str">
        <f>IF('About My Ranch'!D12="X","$/tonne","")</f>
        <v/>
      </c>
      <c r="M9" s="124"/>
    </row>
    <row r="10" spans="2:15" ht="22.5" customHeight="1">
      <c r="B10" t="str">
        <f>IF('About My Ranch'!D13="X","Pasture","")</f>
        <v/>
      </c>
      <c r="C10" s="124" t="str">
        <f>IF('About My Ranch'!D13="X",'Pasture CoP'!D14,"")</f>
        <v/>
      </c>
      <c r="D10" s="124" t="str">
        <f>IF('About My Ranch'!D13="X",'Pasture CoP'!D15,"")</f>
        <v/>
      </c>
      <c r="E10" s="124" t="str">
        <f>IF('About My Ranch'!D13="X",'Pasture CoP'!D35-'Pasture CoP'!D30-'Pasture CoP'!D28,"")</f>
        <v/>
      </c>
      <c r="F10" s="124" t="str">
        <f>IF('About My Ranch'!D13="X",'Pasture CoP'!D35,"")</f>
        <v/>
      </c>
      <c r="G10" s="124" t="str">
        <f>IF('About My Ranch'!D13="X",C10-E10,"")</f>
        <v/>
      </c>
      <c r="H10" s="124" t="str">
        <f>IF('About My Ranch'!D13="X",D10-F10+'Pasture CoP'!D29+'Pasture CoP'!D30+'Pasture CoP'!D31,"")</f>
        <v/>
      </c>
      <c r="I10" s="124" t="str">
        <f>IF('About My Ranch'!D13="X",D10-F10,"")</f>
        <v/>
      </c>
      <c r="J10" s="126"/>
      <c r="K10" s="132" t="str">
        <f>IF('About My Ranch'!D13="X",'Pasture CoP'!F35,"")</f>
        <v/>
      </c>
      <c r="L10" s="136" t="str">
        <f>IF('About My Ranch'!D13="X","$/hd/d","")</f>
        <v/>
      </c>
      <c r="M10" s="124"/>
    </row>
    <row r="11" spans="2:15" ht="22.5" customHeight="1">
      <c r="B11" t="str">
        <f>IF('About My Ranch'!D14="X","Grain","")</f>
        <v/>
      </c>
      <c r="C11" s="124" t="str">
        <f>IF('About My Ranch'!D14="X",'Grain CoP'!D9,"")</f>
        <v/>
      </c>
      <c r="D11" s="124" t="str">
        <f>IF('About My Ranch'!D14="X",'Grain CoP'!D10,"")</f>
        <v/>
      </c>
      <c r="E11" s="124" t="str">
        <f>IF('About My Ranch'!D14="X",'Grain CoP'!D31-'Grain CoP'!D26-'Grain CoP'!D24,"")</f>
        <v/>
      </c>
      <c r="F11" s="124" t="str">
        <f>IF('About My Ranch'!D14="X",'Grain CoP'!D31,"")</f>
        <v/>
      </c>
      <c r="G11" s="124" t="str">
        <f>IF('About My Ranch'!D14="X",C11-E11,"")</f>
        <v/>
      </c>
      <c r="H11" s="124" t="str">
        <f>IF('About My Ranch'!D14="X",D11-'Grain CoP'!D31+'Grain CoP'!D30+'Grain CoP'!D27+'Grain CoP'!D26+'Grain CoP'!D25,"")</f>
        <v/>
      </c>
      <c r="I11" s="124" t="str">
        <f>IF('About My Ranch'!D14="X",D11-F11,"")</f>
        <v/>
      </c>
      <c r="J11" s="126"/>
      <c r="K11" s="132" t="str">
        <f>IF('About My Ranch'!D14="X",'Grain CoP'!E31,"")</f>
        <v/>
      </c>
      <c r="L11" s="136" t="str">
        <f>IF('About My Ranch'!D14="X","$/acre","")</f>
        <v/>
      </c>
      <c r="M11" s="124"/>
      <c r="N11" s="127"/>
    </row>
    <row r="12" spans="2:15" ht="22.5" customHeight="1">
      <c r="B12" s="34" t="str">
        <f>IF('About My Ranch'!D15="X","Other ("&amp;'About My Ranch'!F15&amp;")","")</f>
        <v/>
      </c>
      <c r="C12" s="125" t="str">
        <f>IF('About My Ranch'!D15="X",'9. "Other" Revenues'!C16,"")</f>
        <v/>
      </c>
      <c r="D12" s="125" t="str">
        <f>IF('About My Ranch'!D15="X",'9. "Other" Revenues'!C16,"")</f>
        <v/>
      </c>
      <c r="E12" s="125" t="str">
        <f>IF('About My Ranch'!D15="X",F12-'11. Unpaid Labour'!O8-'12. Assets_for Depreciation'!O26-'12. Assets_for Depreciation'!O51-'12. Assets_for Depreciation'!O86,"")</f>
        <v/>
      </c>
      <c r="F12" s="125" t="str">
        <f>IF('About My Ranch'!D15="X",'10. Expenses'!M42+'10. Expenses'!M55+'10. Expenses'!M62+'10. Expenses'!M75+'10. Expenses'!M82+'10. Expenses'!M87+'10. Expenses'!M97+'10. Expenses'!M102+'10. Expenses'!M108+'10. Expenses'!M114+'10. Expenses'!M120+'10. Expenses'!M127+'10. Expenses'!M133+'11. Unpaid Labour'!O8+'12. Assets_for Depreciation'!O86+'12. Assets_for Depreciation'!O51+'12. Assets_for Depreciation'!O26,"")</f>
        <v/>
      </c>
      <c r="G12" s="125" t="str">
        <f>IF('About My Ranch'!D15="X",C12-E12,"")</f>
        <v/>
      </c>
      <c r="H12" s="125" t="str">
        <f>IF('About My Ranch'!D15="X",D12-F12+'10. Expenses'!AQ105+'10. Expenses'!M102+'10. Expenses'!M97+'12. Assets_for Depreciation'!O86+'12. Assets_for Depreciation'!O51+'12. Assets_for Depreciation'!O26,"")</f>
        <v/>
      </c>
      <c r="I12" s="125" t="str">
        <f>IF('About My Ranch'!D15="X",D12-F12,"")</f>
        <v/>
      </c>
      <c r="J12" s="126"/>
      <c r="K12" s="138" t="str">
        <f>IF('About My Ranch'!D15="X","n/a","")</f>
        <v/>
      </c>
      <c r="L12" s="141"/>
      <c r="M12" s="126"/>
      <c r="N12" s="127"/>
    </row>
    <row r="13" spans="2:15" s="1" customFormat="1" ht="22.5" customHeight="1">
      <c r="B13" s="142" t="s">
        <v>106</v>
      </c>
      <c r="C13" s="143">
        <f>SUM(C4:C12)</f>
        <v>0</v>
      </c>
      <c r="D13" s="143">
        <f>SUM(D4:D12)</f>
        <v>0</v>
      </c>
      <c r="E13" s="143" t="e">
        <f>SUM(E4:E12)</f>
        <v>#DIV/0!</v>
      </c>
      <c r="F13" s="143" t="e">
        <f>SUM(F4:F12)</f>
        <v>#DIV/0!</v>
      </c>
      <c r="G13" s="143" t="e">
        <f>C13-E13</f>
        <v>#DIV/0!</v>
      </c>
      <c r="H13" s="143" t="e">
        <f>SUM(H4:H12)</f>
        <v>#DIV/0!</v>
      </c>
      <c r="I13" s="143" t="e">
        <f>D13-F13</f>
        <v>#DIV/0!</v>
      </c>
      <c r="J13" s="128"/>
      <c r="K13" s="139"/>
      <c r="L13" s="128"/>
      <c r="M13" s="128"/>
      <c r="N13" s="129"/>
    </row>
    <row r="15" spans="2:15">
      <c r="B15" s="1" t="s">
        <v>314</v>
      </c>
    </row>
    <row r="16" spans="2:15">
      <c r="B16" t="s">
        <v>315</v>
      </c>
    </row>
    <row r="17" spans="2:2">
      <c r="B17" t="s">
        <v>316</v>
      </c>
    </row>
    <row r="18" spans="2:2">
      <c r="B18" t="s">
        <v>164</v>
      </c>
    </row>
  </sheetData>
  <sheetProtection sheet="1" objects="1" scenarios="1"/>
  <phoneticPr fontId="116" type="noConversion"/>
  <pageMargins left="0.7" right="0.7" top="0.75" bottom="0.75" header="0.3" footer="0.3"/>
  <headerFooter>
    <oddFooter>&amp;LWinners &amp; Losers Report&amp;R&amp;D</oddFooter>
  </headerFooter>
  <ignoredErrors>
    <ignoredError sqref="G13" formula="1"/>
  </ignoredErrors>
  <drawing r:id="rId1"/>
  <extLst>
    <ext xmlns:mx="http://schemas.microsoft.com/office/mac/excel/2008/main" uri="http://schemas.microsoft.com/office/mac/excel/2008/main">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theme="2" tint="-0.249977111117893"/>
    <pageSetUpPr fitToPage="1"/>
  </sheetPr>
  <dimension ref="B1:K61"/>
  <sheetViews>
    <sheetView showGridLines="0" showRowColHeaders="0" workbookViewId="0">
      <selection activeCell="H4" sqref="H4"/>
    </sheetView>
  </sheetViews>
  <sheetFormatPr baseColWidth="10" defaultColWidth="8.83203125" defaultRowHeight="14"/>
  <cols>
    <col min="1" max="1" width="6.1640625" style="155" customWidth="1"/>
    <col min="2" max="5" width="8.83203125" style="155"/>
    <col min="6" max="6" width="11.1640625" style="155" bestFit="1" customWidth="1"/>
    <col min="7" max="7" width="10.33203125" style="155" customWidth="1"/>
    <col min="8" max="8" width="11.83203125" style="161" customWidth="1"/>
    <col min="9" max="16384" width="8.83203125" style="155"/>
  </cols>
  <sheetData>
    <row r="1" spans="2:11" ht="76.5" customHeight="1">
      <c r="B1" s="57" t="s">
        <v>165</v>
      </c>
      <c r="C1" s="112"/>
      <c r="D1" s="111"/>
      <c r="E1" s="110"/>
      <c r="F1" s="110"/>
      <c r="G1" s="153"/>
      <c r="H1" s="114"/>
      <c r="I1" s="6"/>
      <c r="J1" s="154"/>
      <c r="K1" s="7"/>
    </row>
    <row r="3" spans="2:11" s="146" customFormat="1" ht="18">
      <c r="B3" s="144" t="s">
        <v>166</v>
      </c>
      <c r="C3" s="145"/>
      <c r="D3" s="145"/>
      <c r="E3" s="145"/>
      <c r="F3" s="145"/>
      <c r="G3" s="145"/>
      <c r="H3" s="162" t="s">
        <v>126</v>
      </c>
      <c r="I3" s="145"/>
    </row>
    <row r="4" spans="2:11" s="146" customFormat="1" ht="16.5" customHeight="1">
      <c r="B4" s="146" t="s">
        <v>43</v>
      </c>
      <c r="H4" s="157">
        <f>'Cow-calf CoP'!G10</f>
        <v>0</v>
      </c>
    </row>
    <row r="5" spans="2:11" s="146" customFormat="1" ht="16.5" customHeight="1">
      <c r="B5" s="146" t="s">
        <v>44</v>
      </c>
      <c r="H5" s="157">
        <f>'Bckgrdr CoP'!G11</f>
        <v>0</v>
      </c>
    </row>
    <row r="6" spans="2:11" s="146" customFormat="1" ht="16.5" customHeight="1">
      <c r="B6" s="146" t="s">
        <v>103</v>
      </c>
      <c r="H6" s="157">
        <f>'Grasser CoP'!G11</f>
        <v>0</v>
      </c>
    </row>
    <row r="7" spans="2:11" s="146" customFormat="1" ht="16.5" customHeight="1">
      <c r="B7" s="146" t="s">
        <v>45</v>
      </c>
      <c r="H7" s="157">
        <f>'1. Cow-Calf_InputForm'!H71+'1. Cow-Calf_InputForm'!H73+'1. Cow-Calf_InputForm'!H75</f>
        <v>0</v>
      </c>
    </row>
    <row r="8" spans="2:11" s="146" customFormat="1" ht="16.5" customHeight="1">
      <c r="B8" s="146" t="s">
        <v>585</v>
      </c>
      <c r="H8" s="157">
        <f>'Repl Heifer CoP'!G11+'RanchRaised Bull CoP'!G10</f>
        <v>0</v>
      </c>
    </row>
    <row r="9" spans="2:11" s="146" customFormat="1" ht="16.5" customHeight="1">
      <c r="B9" s="146" t="s">
        <v>598</v>
      </c>
      <c r="H9" s="157">
        <f>'Pasture CoP'!D14</f>
        <v>0</v>
      </c>
    </row>
    <row r="10" spans="2:11" s="146" customFormat="1" ht="16.5" customHeight="1">
      <c r="B10" s="146" t="s">
        <v>613</v>
      </c>
      <c r="H10" s="157">
        <f>'Forage CoP'!D7</f>
        <v>0</v>
      </c>
    </row>
    <row r="11" spans="2:11" s="146" customFormat="1" ht="16.5" customHeight="1">
      <c r="B11" s="146" t="s">
        <v>199</v>
      </c>
      <c r="H11" s="157">
        <f>'Grain CoP'!D9</f>
        <v>0</v>
      </c>
    </row>
    <row r="12" spans="2:11" s="146" customFormat="1" ht="16.5" customHeight="1">
      <c r="B12" s="146" t="s">
        <v>527</v>
      </c>
      <c r="H12" s="157">
        <f>'9. "Other" Revenues'!C16</f>
        <v>0</v>
      </c>
    </row>
    <row r="13" spans="2:11" s="146" customFormat="1" ht="16.5" customHeight="1">
      <c r="B13" s="146" t="s">
        <v>167</v>
      </c>
      <c r="H13" s="157">
        <f>('Repl Heifer CoP'!G17+'Bckgrdr CoP'!G17+'Grasser CoP'!G17+'Finisher CoP'!G16+'1. Cow-Calf_InputForm'!F79+'1. Cow-Calf_InputForm'!F81+'1. Cow-Calf_InputForm'!F83)*-1</f>
        <v>0</v>
      </c>
    </row>
    <row r="14" spans="2:11" s="146" customFormat="1" ht="16.5" customHeight="1">
      <c r="B14" s="146" t="s">
        <v>95</v>
      </c>
      <c r="H14" s="157">
        <f>'1. Cow-Calf_InputForm'!D58*'1. Cow-Calf_InputForm'!F58*'1. Cow-Calf_InputForm'!H58+'1. Cow-Calf_InputForm'!J58*'1. Cow-Calf_InputForm'!L58*'1. Cow-Calf_InputForm'!N58+'1. Cow-Calf_InputForm'!J60*'1. Cow-Calf_InputForm'!L60*'1. Cow-Calf_InputForm'!N60+'1. Cow-Calf_InputForm'!D62*'1. Cow-Calf_InputForm'!F62*'1. Cow-Calf_InputForm'!H62</f>
        <v>0</v>
      </c>
    </row>
    <row r="15" spans="2:11" s="146" customFormat="1" ht="16.5" customHeight="1">
      <c r="B15" s="145" t="s">
        <v>168</v>
      </c>
      <c r="C15" s="145"/>
      <c r="D15" s="145"/>
      <c r="E15" s="145"/>
      <c r="F15" s="145"/>
      <c r="G15" s="145"/>
      <c r="H15" s="158">
        <f>'Repl Heifer CoP'!G12+'Bckgrdr CoP'!G12+'Grasser CoP'!G12+'RanchRaised Bull CoP'!G11</f>
        <v>0</v>
      </c>
      <c r="I15" s="145"/>
    </row>
    <row r="16" spans="2:11" s="152" customFormat="1" ht="15">
      <c r="B16" s="156" t="s">
        <v>169</v>
      </c>
      <c r="H16" s="159">
        <f>SUM(H4:H15)</f>
        <v>0</v>
      </c>
    </row>
    <row r="17" spans="2:9" s="146" customFormat="1">
      <c r="H17" s="160"/>
    </row>
    <row r="18" spans="2:9" s="146" customFormat="1" ht="18">
      <c r="B18" s="144" t="s">
        <v>82</v>
      </c>
      <c r="C18" s="145"/>
      <c r="D18" s="145"/>
      <c r="E18" s="145"/>
      <c r="F18" s="145"/>
      <c r="G18" s="163" t="s">
        <v>170</v>
      </c>
      <c r="H18" s="162" t="s">
        <v>126</v>
      </c>
      <c r="I18" s="145"/>
    </row>
    <row r="19" spans="2:9" s="146" customFormat="1">
      <c r="B19" s="146" t="s">
        <v>119</v>
      </c>
      <c r="G19" s="147">
        <f>SUM('1. Cow-Calf_InputForm'!F91:F95)+SUM('2a. Replacement_InputForm'!F44:F48)+SUM('3. Backgrounder_InputForm'!F46:F50)+SUM('5. Finisher_InputForm'!F42:F46)+SUM('2b. HomeRaisedBulls_InputForm'!F39:F43)</f>
        <v>0</v>
      </c>
      <c r="H19" s="157">
        <f>'Cow-calf CoP'!G16+'Repl Heifer CoP'!G18+'Bckgrdr CoP'!G18+'Finisher CoP'!G17+'RanchRaised Bull CoP'!G16</f>
        <v>0</v>
      </c>
    </row>
    <row r="20" spans="2:9" s="146" customFormat="1">
      <c r="B20" s="146" t="s">
        <v>118</v>
      </c>
      <c r="G20" s="147"/>
      <c r="H20" s="157">
        <f>'10. Expenses'!C13</f>
        <v>0</v>
      </c>
    </row>
    <row r="21" spans="2:9" s="146" customFormat="1">
      <c r="B21" s="146" t="s">
        <v>143</v>
      </c>
      <c r="G21" s="147">
        <f>SUM('1. Cow-Calf_InputForm'!H103:H109)+SUM('2a. Replacement_InputForm'!H56:H60)+SUM('4. Grasser_InputForm'!H45:H49)+SUM('2b. HomeRaisedBulls_InputForm'!H50:H54)</f>
        <v>0</v>
      </c>
      <c r="H21" s="157">
        <f>'Cow-calf CoP'!G17+'Repl Heifer CoP'!G19+'Grasser CoP'!G18+'RanchRaised Bull CoP'!G17</f>
        <v>0</v>
      </c>
    </row>
    <row r="22" spans="2:9" s="146" customFormat="1">
      <c r="B22" s="146" t="s">
        <v>171</v>
      </c>
      <c r="G22" s="147"/>
      <c r="H22" s="157">
        <f>'10. Expenses'!C21</f>
        <v>0</v>
      </c>
    </row>
    <row r="23" spans="2:9" s="146" customFormat="1">
      <c r="B23" s="146" t="s">
        <v>172</v>
      </c>
      <c r="G23" s="147"/>
      <c r="H23" s="157">
        <v>0</v>
      </c>
    </row>
    <row r="24" spans="2:9" s="146" customFormat="1">
      <c r="B24" s="146" t="s">
        <v>73</v>
      </c>
      <c r="G24" s="147"/>
      <c r="H24" s="157">
        <f>'10. Expenses'!C117</f>
        <v>0</v>
      </c>
    </row>
    <row r="25" spans="2:9" s="146" customFormat="1">
      <c r="B25" s="146" t="s">
        <v>84</v>
      </c>
      <c r="G25" s="147"/>
      <c r="H25" s="157">
        <f>'10. Expenses'!C118</f>
        <v>0</v>
      </c>
    </row>
    <row r="26" spans="2:9" s="146" customFormat="1">
      <c r="B26" s="146" t="s">
        <v>74</v>
      </c>
      <c r="G26" s="147"/>
      <c r="H26" s="157">
        <f>'10. Expenses'!C119</f>
        <v>0</v>
      </c>
    </row>
    <row r="27" spans="2:9" s="146" customFormat="1">
      <c r="B27" s="146" t="s">
        <v>218</v>
      </c>
      <c r="G27" s="147"/>
      <c r="H27" s="157">
        <f>'10. Expenses'!C127</f>
        <v>0</v>
      </c>
    </row>
    <row r="28" spans="2:9" s="146" customFormat="1">
      <c r="B28" s="146" t="s">
        <v>528</v>
      </c>
      <c r="G28" s="147"/>
      <c r="H28" s="157">
        <f>'10. Expenses'!C92+'10. Expenses'!C93+'10. Expenses'!C95</f>
        <v>0</v>
      </c>
    </row>
    <row r="29" spans="2:9" s="146" customFormat="1">
      <c r="B29" s="146" t="s">
        <v>529</v>
      </c>
      <c r="G29" s="147"/>
      <c r="H29" s="157">
        <f>'10. Expenses'!C94</f>
        <v>0</v>
      </c>
    </row>
    <row r="30" spans="2:9" s="146" customFormat="1">
      <c r="B30" s="146" t="s">
        <v>530</v>
      </c>
      <c r="G30" s="147"/>
      <c r="H30" s="157">
        <f>'10. Expenses'!C114</f>
        <v>0</v>
      </c>
    </row>
    <row r="31" spans="2:9" s="146" customFormat="1">
      <c r="B31" s="146" t="s">
        <v>145</v>
      </c>
      <c r="G31" s="147"/>
      <c r="H31" s="157">
        <f>'10. Expenses'!C42</f>
        <v>0</v>
      </c>
    </row>
    <row r="32" spans="2:9" s="146" customFormat="1">
      <c r="B32" s="146" t="s">
        <v>173</v>
      </c>
      <c r="G32" s="147"/>
      <c r="H32" s="157">
        <f>'10. Expenses'!C55</f>
        <v>0</v>
      </c>
    </row>
    <row r="33" spans="2:10" s="146" customFormat="1">
      <c r="B33" s="146" t="s">
        <v>174</v>
      </c>
      <c r="G33" s="147"/>
      <c r="H33" s="157">
        <f>'10. Expenses'!C62</f>
        <v>0</v>
      </c>
    </row>
    <row r="34" spans="2:10" s="146" customFormat="1">
      <c r="B34" s="146" t="s">
        <v>146</v>
      </c>
      <c r="G34" s="147"/>
      <c r="H34" s="157">
        <f>'10. Expenses'!C75</f>
        <v>0</v>
      </c>
    </row>
    <row r="35" spans="2:10" s="146" customFormat="1">
      <c r="B35" s="146" t="s">
        <v>175</v>
      </c>
      <c r="G35" s="147"/>
      <c r="H35" s="157">
        <f>'10. Expenses'!C82</f>
        <v>0</v>
      </c>
    </row>
    <row r="36" spans="2:10" s="146" customFormat="1">
      <c r="B36" s="146" t="s">
        <v>189</v>
      </c>
      <c r="G36" s="147"/>
      <c r="H36" s="157">
        <f>'10. Expenses'!C106+'10. Expenses'!C107</f>
        <v>0</v>
      </c>
    </row>
    <row r="37" spans="2:10" s="146" customFormat="1">
      <c r="B37" s="145" t="s">
        <v>176</v>
      </c>
      <c r="C37" s="145"/>
      <c r="D37" s="145"/>
      <c r="E37" s="145"/>
      <c r="F37" s="145"/>
      <c r="G37" s="148"/>
      <c r="H37" s="158">
        <f>'10. Expenses'!C87</f>
        <v>0</v>
      </c>
      <c r="I37" s="145"/>
    </row>
    <row r="38" spans="2:10" s="146" customFormat="1" ht="15">
      <c r="B38" s="156" t="s">
        <v>190</v>
      </c>
      <c r="G38" s="151">
        <f>SUM(G19:G37)</f>
        <v>0</v>
      </c>
      <c r="H38" s="159">
        <f>SUM(H19:H37)</f>
        <v>0</v>
      </c>
    </row>
    <row r="39" spans="2:10" s="146" customFormat="1">
      <c r="H39" s="160"/>
    </row>
    <row r="40" spans="2:10" s="146" customFormat="1">
      <c r="B40" s="146" t="s">
        <v>177</v>
      </c>
      <c r="H40" s="157">
        <f>'10. Expenses'!C133</f>
        <v>0</v>
      </c>
    </row>
    <row r="41" spans="2:10" s="146" customFormat="1">
      <c r="B41" s="146" t="s">
        <v>515</v>
      </c>
      <c r="H41" s="157">
        <f>'10. Expenses'!C97-'10. Expenses'!C92-'10. Expenses'!C93-'10. Expenses'!C94-'10. Expenses'!C95</f>
        <v>0</v>
      </c>
    </row>
    <row r="42" spans="2:10" s="146" customFormat="1">
      <c r="B42" s="146" t="s">
        <v>178</v>
      </c>
      <c r="H42" s="157"/>
    </row>
    <row r="43" spans="2:10" s="146" customFormat="1">
      <c r="C43" s="146" t="s">
        <v>20</v>
      </c>
      <c r="H43" s="157">
        <f>'12. Assets_for Depreciation'!E51+'12. Assets_for Depreciation'!E86+'12. Assets_for Depreciation'!E26</f>
        <v>0</v>
      </c>
    </row>
    <row r="44" spans="2:10" s="146" customFormat="1">
      <c r="C44" s="146" t="s">
        <v>19</v>
      </c>
      <c r="H44" s="157">
        <f>'10. Expenses'!C102</f>
        <v>0</v>
      </c>
    </row>
    <row r="45" spans="2:10" s="146" customFormat="1">
      <c r="B45" s="145" t="s">
        <v>147</v>
      </c>
      <c r="C45" s="145"/>
      <c r="D45" s="145"/>
      <c r="E45" s="145"/>
      <c r="F45" s="145"/>
      <c r="G45" s="145"/>
      <c r="H45" s="158">
        <f>'10. Expenses'!C105</f>
        <v>0</v>
      </c>
      <c r="I45" s="145"/>
      <c r="J45" s="145"/>
    </row>
    <row r="46" spans="2:10" s="146" customFormat="1" ht="15">
      <c r="B46" s="156" t="s">
        <v>179</v>
      </c>
      <c r="H46" s="159">
        <f>SUM(H40:H45)</f>
        <v>0</v>
      </c>
    </row>
    <row r="47" spans="2:10" s="146" customFormat="1" ht="15">
      <c r="B47" s="156" t="s">
        <v>180</v>
      </c>
      <c r="H47" s="159">
        <f>H38+H46-G21-G19-H43</f>
        <v>0</v>
      </c>
    </row>
    <row r="48" spans="2:10" s="146" customFormat="1" ht="15">
      <c r="B48" s="156" t="s">
        <v>181</v>
      </c>
      <c r="H48" s="159">
        <f>H38+H46</f>
        <v>0</v>
      </c>
    </row>
    <row r="49" spans="2:10" ht="15">
      <c r="B49" s="164" t="s">
        <v>187</v>
      </c>
      <c r="C49" s="165"/>
      <c r="D49" s="165"/>
      <c r="E49" s="165"/>
      <c r="F49" s="165"/>
      <c r="G49" s="165"/>
      <c r="H49" s="168">
        <f>H16-H48+H43</f>
        <v>0</v>
      </c>
      <c r="I49" s="165"/>
      <c r="J49" s="165"/>
    </row>
    <row r="50" spans="2:10" ht="15">
      <c r="B50" s="163" t="s">
        <v>182</v>
      </c>
      <c r="C50" s="166"/>
      <c r="D50" s="166"/>
      <c r="E50" s="166"/>
      <c r="F50" s="166"/>
      <c r="G50" s="166"/>
      <c r="H50" s="169">
        <f>H16-H48</f>
        <v>0</v>
      </c>
      <c r="I50" s="166"/>
      <c r="J50" s="166"/>
    </row>
    <row r="51" spans="2:10" ht="15">
      <c r="B51" s="164" t="s">
        <v>191</v>
      </c>
      <c r="C51" s="165"/>
      <c r="D51" s="165"/>
      <c r="E51" s="165"/>
      <c r="F51" s="165"/>
      <c r="G51" s="165"/>
      <c r="H51" s="168">
        <f>'11. Unpaid Labour'!E8</f>
        <v>0</v>
      </c>
      <c r="I51" s="165"/>
      <c r="J51" s="165"/>
    </row>
    <row r="52" spans="2:10" ht="15">
      <c r="B52" s="164" t="s">
        <v>192</v>
      </c>
      <c r="C52" s="165"/>
      <c r="D52" s="165"/>
      <c r="E52" s="165"/>
      <c r="F52" s="165"/>
      <c r="G52" s="165"/>
      <c r="H52" s="168">
        <f>H50-H51</f>
        <v>0</v>
      </c>
      <c r="I52" s="165"/>
      <c r="J52" s="165"/>
    </row>
    <row r="53" spans="2:10" ht="15">
      <c r="B53" s="164"/>
      <c r="C53" s="165"/>
      <c r="D53" s="165"/>
      <c r="E53" s="165"/>
      <c r="F53" s="165"/>
      <c r="G53" s="165"/>
      <c r="H53" s="168"/>
      <c r="I53" s="165"/>
      <c r="J53" s="165"/>
    </row>
    <row r="54" spans="2:10" ht="15">
      <c r="B54" s="167" t="s">
        <v>183</v>
      </c>
    </row>
    <row r="55" spans="2:10">
      <c r="C55" t="s">
        <v>184</v>
      </c>
      <c r="F55" s="170">
        <f>SUM('12. Assets_for Depreciation'!C65:C85)</f>
        <v>0</v>
      </c>
    </row>
    <row r="56" spans="2:10">
      <c r="C56" t="s">
        <v>185</v>
      </c>
      <c r="F56" s="170">
        <f>SUM('12. Assets_for Depreciation'!C7:C25)+SUM('12. Assets_for Depreciation'!C32:C50)</f>
        <v>0</v>
      </c>
    </row>
    <row r="57" spans="2:10">
      <c r="C57" t="s">
        <v>186</v>
      </c>
      <c r="F57" s="170">
        <f>'1. Cow-Calf_InputForm'!H23*'1. Cow-Calf_InputForm'!D34+'1. Cow-Calf_InputForm'!H25*'1. Cow-Calf_InputForm'!D36+'1. Cow-Calf_InputForm'!H27*'1. Cow-Calf_InputForm'!D38</f>
        <v>0</v>
      </c>
    </row>
    <row r="58" spans="2:10">
      <c r="C58" s="149" t="s">
        <v>193</v>
      </c>
      <c r="D58" s="149"/>
      <c r="E58" s="149"/>
      <c r="F58" s="150">
        <f>SUM(F55:F57)</f>
        <v>0</v>
      </c>
    </row>
    <row r="61" spans="2:10">
      <c r="B61" t="s">
        <v>188</v>
      </c>
    </row>
  </sheetData>
  <sheetCalcPr fullCalcOnLoad="1"/>
  <sheetProtection sheet="1" objects="1" scenarios="1"/>
  <pageMargins left="0.7" right="0.7" top="0.75" bottom="0.75" header="0.3" footer="0.3"/>
  <headerFooter>
    <oddFooter>&amp;L&amp;A&amp;R&amp;D</oddFooter>
  </headerFooter>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AN119"/>
  <sheetViews>
    <sheetView showGridLines="0" showRowColHeaders="0" workbookViewId="0">
      <selection activeCell="H20" sqref="H20"/>
    </sheetView>
  </sheetViews>
  <sheetFormatPr baseColWidth="10" defaultColWidth="8.83203125" defaultRowHeight="14"/>
  <cols>
    <col min="1" max="1" width="5" style="74" customWidth="1"/>
    <col min="2" max="2" width="29.6640625" style="74" customWidth="1"/>
    <col min="3" max="3" width="2.1640625" style="74" customWidth="1"/>
    <col min="4" max="4" width="11.6640625" style="73" customWidth="1"/>
    <col min="5" max="5" width="2" style="73" customWidth="1"/>
    <col min="6" max="6" width="12.5" style="73" customWidth="1"/>
    <col min="7" max="7" width="2.33203125" style="73" customWidth="1"/>
    <col min="8" max="8" width="12.5" style="73" customWidth="1"/>
    <col min="9" max="9" width="1.6640625" style="73" customWidth="1"/>
    <col min="10" max="10" width="12.6640625" style="74" customWidth="1"/>
    <col min="11" max="11" width="1.6640625" style="74" customWidth="1"/>
    <col min="12" max="12" width="12.83203125" style="74" customWidth="1"/>
    <col min="13" max="13" width="1.6640625" style="73" customWidth="1"/>
    <col min="14" max="14" width="14.1640625" style="73" customWidth="1"/>
    <col min="15" max="15" width="1.5" style="73" customWidth="1"/>
    <col min="16" max="16" width="12.5" style="73" customWidth="1"/>
    <col min="17" max="17" width="1.83203125" style="73" customWidth="1"/>
    <col min="18" max="18" width="11.83203125" style="73" customWidth="1"/>
    <col min="19" max="19" width="1.5" style="78" customWidth="1"/>
    <col min="20" max="20" width="13.6640625" customWidth="1"/>
    <col min="26" max="26" width="3.5" style="74" customWidth="1"/>
    <col min="33" max="33" width="3.33203125" style="74" customWidth="1"/>
    <col min="34" max="34" width="9.33203125" style="74" customWidth="1"/>
    <col min="39" max="16384" width="8.83203125" style="74"/>
  </cols>
  <sheetData>
    <row r="1" spans="2:11" ht="68.25" customHeight="1"/>
    <row r="2" spans="2:11" ht="33.75" customHeight="1">
      <c r="B2" s="93" t="str">
        <f>IF('About My Ranch'!D6="X","The required data for the Cow-Calf Enterprise will be entered in this tab.","You did not indicate in the 'About My Ranch' Tab that you have a Cow-Calf Enterprise.")</f>
        <v>The required data for the Cow-Calf Enterprise will be entered in this tab.</v>
      </c>
      <c r="C2" s="93"/>
    </row>
    <row r="3" spans="2:11" ht="33.75" customHeight="1">
      <c r="D3" s="206" t="s">
        <v>406</v>
      </c>
      <c r="E3" s="206"/>
      <c r="F3" s="331">
        <f>'About My Ranch'!F19</f>
        <v>0</v>
      </c>
      <c r="G3" s="205"/>
      <c r="H3" s="216" t="s">
        <v>255</v>
      </c>
      <c r="I3" s="204"/>
    </row>
    <row r="4" spans="2:11" s="80" customFormat="1" ht="52.5" customHeight="1">
      <c r="D4" s="79"/>
      <c r="E4" s="79"/>
      <c r="F4" s="79"/>
      <c r="G4" s="79"/>
      <c r="H4" s="79"/>
      <c r="I4" s="79"/>
      <c r="J4" s="79"/>
      <c r="K4" s="79"/>
    </row>
    <row r="5" spans="2:11" s="80" customFormat="1" ht="24.75" customHeight="1">
      <c r="D5" s="259" t="s">
        <v>141</v>
      </c>
      <c r="E5" s="79"/>
      <c r="F5" s="259" t="s">
        <v>160</v>
      </c>
      <c r="G5" s="79"/>
      <c r="H5" s="79"/>
      <c r="I5" s="79"/>
      <c r="J5" s="79"/>
      <c r="K5" s="79"/>
    </row>
    <row r="6" spans="2:11" s="80" customFormat="1" ht="19.5" customHeight="1">
      <c r="B6" s="266" t="s">
        <v>247</v>
      </c>
      <c r="D6" s="217"/>
      <c r="E6" s="79"/>
      <c r="F6" s="217"/>
      <c r="G6" s="79"/>
      <c r="H6" s="79"/>
      <c r="I6" s="79"/>
      <c r="J6" s="79"/>
      <c r="K6" s="79"/>
    </row>
    <row r="7" spans="2:11" s="80" customFormat="1" ht="6" customHeight="1">
      <c r="D7" s="79"/>
      <c r="E7" s="79"/>
      <c r="F7" s="79"/>
      <c r="G7" s="79"/>
      <c r="H7" s="79"/>
      <c r="I7" s="79"/>
      <c r="J7" s="79"/>
      <c r="K7" s="79"/>
    </row>
    <row r="8" spans="2:11" s="80" customFormat="1" ht="19.5" customHeight="1">
      <c r="B8" s="266" t="s">
        <v>248</v>
      </c>
      <c r="D8" s="217"/>
      <c r="E8" s="79"/>
      <c r="F8" s="217"/>
      <c r="G8" s="79"/>
      <c r="H8" s="79"/>
      <c r="I8" s="79"/>
      <c r="J8" s="79"/>
      <c r="K8" s="79"/>
    </row>
    <row r="9" spans="2:11" s="80" customFormat="1" ht="6.75" customHeight="1">
      <c r="D9" s="79"/>
      <c r="E9" s="79"/>
      <c r="F9" s="79"/>
      <c r="G9" s="79"/>
      <c r="H9" s="79"/>
      <c r="I9" s="79"/>
      <c r="J9" s="79"/>
      <c r="K9" s="79"/>
    </row>
    <row r="10" spans="2:11" s="80" customFormat="1" ht="19.5" customHeight="1">
      <c r="B10" s="267" t="s">
        <v>249</v>
      </c>
      <c r="D10" s="329">
        <f>D6+282</f>
        <v>282</v>
      </c>
      <c r="E10" s="83"/>
      <c r="F10" s="329">
        <f>F6+282</f>
        <v>282</v>
      </c>
      <c r="G10" s="79"/>
      <c r="H10" s="216" t="s">
        <v>443</v>
      </c>
      <c r="I10" s="79"/>
      <c r="J10" s="79"/>
      <c r="K10" s="79"/>
    </row>
    <row r="11" spans="2:11" s="80" customFormat="1" ht="5.25" customHeight="1">
      <c r="D11" s="79"/>
      <c r="E11" s="79"/>
      <c r="F11" s="79"/>
      <c r="G11" s="79"/>
      <c r="H11" s="79"/>
      <c r="I11" s="79"/>
      <c r="J11" s="79"/>
      <c r="K11" s="79"/>
    </row>
    <row r="12" spans="2:11" s="80" customFormat="1" ht="22.5" customHeight="1">
      <c r="B12" s="267" t="s">
        <v>588</v>
      </c>
      <c r="D12" s="217"/>
      <c r="E12" s="288"/>
      <c r="F12" s="287"/>
      <c r="G12" s="79"/>
      <c r="H12" s="216" t="str">
        <f>"When did you start winter feeding  in Fall "&amp;$F$3-1&amp;"/"&amp;F3&amp;"? Date should precede calving start date."</f>
        <v>When did you start winter feeding  in Fall -1/0? Date should precede calving start date.</v>
      </c>
      <c r="I12" s="79"/>
      <c r="J12" s="79"/>
      <c r="K12" s="79"/>
    </row>
    <row r="13" spans="2:11" s="80" customFormat="1" ht="5.25" customHeight="1">
      <c r="D13" s="288"/>
      <c r="E13" s="288"/>
      <c r="F13" s="288"/>
      <c r="G13" s="79"/>
      <c r="H13" s="79"/>
      <c r="I13" s="79"/>
      <c r="J13" s="79"/>
      <c r="K13" s="79"/>
    </row>
    <row r="14" spans="2:11" s="80" customFormat="1" ht="19.5" customHeight="1">
      <c r="B14" s="267" t="s">
        <v>250</v>
      </c>
      <c r="D14" s="217"/>
      <c r="E14" s="288"/>
      <c r="F14" s="217"/>
      <c r="G14" s="79"/>
      <c r="H14" s="216" t="str">
        <f>"What was the actual date of your first "&amp;F3&amp;" calf?"</f>
        <v>What was the actual date of your first 0 calf?</v>
      </c>
      <c r="I14" s="79"/>
      <c r="J14" s="79"/>
      <c r="K14" s="79"/>
    </row>
    <row r="15" spans="2:11" s="80" customFormat="1" ht="5.25" customHeight="1">
      <c r="D15" s="288"/>
      <c r="E15" s="288"/>
      <c r="F15" s="288"/>
      <c r="G15" s="79"/>
      <c r="H15" s="79"/>
      <c r="I15" s="79"/>
      <c r="J15" s="79"/>
      <c r="K15" s="79"/>
    </row>
    <row r="16" spans="2:11" s="80" customFormat="1" ht="19.5" customHeight="1">
      <c r="B16" s="267" t="s">
        <v>252</v>
      </c>
      <c r="D16" s="217"/>
      <c r="E16" s="288"/>
      <c r="F16" s="287"/>
      <c r="G16" s="79"/>
      <c r="H16" s="216" t="str">
        <f>"When did you turn out cows/1st calvers to grass in Spring "&amp;$F$3&amp;"?"</f>
        <v>When did you turn out cows/1st calvers to grass in Spring 0?</v>
      </c>
      <c r="I16" s="79"/>
      <c r="J16" s="79"/>
      <c r="K16" s="79"/>
    </row>
    <row r="17" spans="2:40" s="80" customFormat="1" ht="6" customHeight="1">
      <c r="D17" s="288"/>
      <c r="E17" s="288"/>
      <c r="F17" s="288"/>
      <c r="G17" s="79"/>
      <c r="H17" s="79"/>
      <c r="I17" s="79"/>
      <c r="J17" s="79"/>
      <c r="K17" s="79"/>
    </row>
    <row r="18" spans="2:40" s="80" customFormat="1" ht="19.5" customHeight="1">
      <c r="B18" s="267" t="s">
        <v>251</v>
      </c>
      <c r="D18" s="217"/>
      <c r="E18" s="288"/>
      <c r="F18" s="287"/>
      <c r="G18" s="79"/>
      <c r="H18" s="219" t="s">
        <v>271</v>
      </c>
      <c r="I18" s="79"/>
      <c r="J18" s="79"/>
      <c r="K18" s="79"/>
    </row>
    <row r="19" spans="2:40" s="80" customFormat="1" ht="6" customHeight="1">
      <c r="D19" s="288"/>
      <c r="E19" s="288"/>
      <c r="F19" s="288"/>
      <c r="G19" s="79"/>
      <c r="H19" s="79"/>
      <c r="I19" s="79"/>
      <c r="J19" s="79"/>
      <c r="K19" s="79"/>
    </row>
    <row r="20" spans="2:40" s="80" customFormat="1" ht="19.5" customHeight="1">
      <c r="B20" s="267" t="s">
        <v>253</v>
      </c>
      <c r="D20" s="217"/>
      <c r="E20" s="288"/>
      <c r="F20" s="287"/>
      <c r="G20" s="79"/>
      <c r="H20" s="216" t="str">
        <f>"When did you start winter feeding again in Fall "&amp;$F$3&amp;"?"</f>
        <v>When did you start winter feeding again in Fall 0?</v>
      </c>
      <c r="I20" s="79"/>
      <c r="J20" s="79"/>
      <c r="K20" s="79"/>
    </row>
    <row r="21" spans="2:40" ht="50.25" customHeight="1">
      <c r="B21" s="252"/>
      <c r="C21" s="207"/>
      <c r="D21" s="198"/>
      <c r="E21" s="198"/>
      <c r="F21" s="205"/>
      <c r="G21" s="205"/>
      <c r="H21" s="216"/>
      <c r="I21" s="204"/>
    </row>
    <row r="22" spans="2:40" ht="39" customHeight="1">
      <c r="B22" s="252"/>
      <c r="C22" s="252"/>
      <c r="D22" s="253" t="s">
        <v>246</v>
      </c>
      <c r="F22" s="254" t="s">
        <v>256</v>
      </c>
      <c r="H22" s="255" t="s">
        <v>254</v>
      </c>
      <c r="I22" s="256"/>
      <c r="J22" s="257" t="s">
        <v>408</v>
      </c>
      <c r="K22" s="257"/>
      <c r="L22" s="257" t="s">
        <v>409</v>
      </c>
      <c r="M22" s="257"/>
      <c r="N22" s="259" t="s">
        <v>50</v>
      </c>
      <c r="P22" s="258" t="s">
        <v>411</v>
      </c>
      <c r="Q22" s="85"/>
      <c r="R22" s="418" t="s">
        <v>577</v>
      </c>
      <c r="S22" s="73"/>
      <c r="U22" s="306"/>
      <c r="V22" s="260"/>
      <c r="W22" s="260"/>
      <c r="X22" s="260"/>
      <c r="Y22" s="260"/>
      <c r="Z22" s="260"/>
      <c r="AA22" s="260"/>
      <c r="AB22" s="74"/>
      <c r="AC22" s="260"/>
      <c r="AD22" s="260"/>
      <c r="AE22" s="260"/>
      <c r="AF22" s="260"/>
      <c r="AG22" s="260"/>
      <c r="AH22" s="260"/>
      <c r="AI22" s="74"/>
      <c r="AJ22" s="74"/>
      <c r="AK22" s="260"/>
      <c r="AL22" s="260"/>
      <c r="AM22" s="260"/>
      <c r="AN22" s="260"/>
    </row>
    <row r="23" spans="2:40" ht="18.75" customHeight="1">
      <c r="B23" s="261" t="s">
        <v>407</v>
      </c>
      <c r="C23" s="208"/>
      <c r="D23" s="311"/>
      <c r="E23" s="325"/>
      <c r="F23" s="326"/>
      <c r="G23" s="325"/>
      <c r="H23" s="311"/>
      <c r="I23" s="312"/>
      <c r="J23" s="609"/>
      <c r="K23" s="308"/>
      <c r="L23" s="609"/>
      <c r="M23" s="313"/>
      <c r="N23" s="609"/>
      <c r="P23" s="322">
        <f>'2b. HomeRaisedBulls_InputForm'!L13</f>
        <v>0</v>
      </c>
      <c r="Q23" s="314"/>
      <c r="R23" s="322">
        <f>H23+J23-L23-N23+P23</f>
        <v>0</v>
      </c>
      <c r="S23" s="73"/>
      <c r="U23" s="316"/>
      <c r="Z23"/>
      <c r="AB23" s="74"/>
      <c r="AG23"/>
      <c r="AH23"/>
      <c r="AI23" s="74"/>
      <c r="AJ23" s="74"/>
      <c r="AM23"/>
      <c r="AN23"/>
    </row>
    <row r="24" spans="2:40" ht="8.25" customHeight="1">
      <c r="B24" s="252"/>
      <c r="C24" s="207"/>
      <c r="D24" s="315"/>
      <c r="E24" s="325"/>
      <c r="F24" s="315"/>
      <c r="G24" s="325"/>
      <c r="H24" s="315"/>
      <c r="I24" s="315"/>
      <c r="J24" s="310"/>
      <c r="K24" s="308"/>
      <c r="L24" s="314"/>
      <c r="M24" s="314"/>
      <c r="N24" s="314"/>
      <c r="P24" s="327"/>
      <c r="Q24" s="314"/>
      <c r="R24" s="314"/>
      <c r="S24" s="73"/>
      <c r="U24" s="78"/>
      <c r="Z24"/>
      <c r="AB24" s="74"/>
      <c r="AG24"/>
      <c r="AH24"/>
      <c r="AI24" s="74"/>
      <c r="AJ24" s="74"/>
      <c r="AM24"/>
      <c r="AN24"/>
    </row>
    <row r="25" spans="2:40" ht="18.75" customHeight="1">
      <c r="B25" s="261" t="s">
        <v>141</v>
      </c>
      <c r="C25" s="208"/>
      <c r="D25" s="311"/>
      <c r="E25" s="325"/>
      <c r="F25" s="311"/>
      <c r="G25" s="325"/>
      <c r="H25" s="311"/>
      <c r="I25" s="312"/>
      <c r="J25" s="609"/>
      <c r="K25" s="308"/>
      <c r="L25" s="609"/>
      <c r="M25" s="313"/>
      <c r="N25" s="609"/>
      <c r="P25" s="322">
        <f>H27+J27-L27-N27</f>
        <v>0</v>
      </c>
      <c r="Q25" s="314"/>
      <c r="R25" s="322">
        <f>H25+J25-L25-N25+P25</f>
        <v>0</v>
      </c>
      <c r="S25" s="73"/>
      <c r="U25" s="78"/>
      <c r="Z25"/>
      <c r="AB25" s="74"/>
      <c r="AG25"/>
      <c r="AH25"/>
      <c r="AI25" s="74"/>
      <c r="AJ25" s="74"/>
      <c r="AM25"/>
      <c r="AN25"/>
    </row>
    <row r="26" spans="2:40" ht="8.25" customHeight="1">
      <c r="B26" s="261"/>
      <c r="C26" s="208"/>
      <c r="D26" s="312"/>
      <c r="E26" s="325"/>
      <c r="F26" s="312"/>
      <c r="G26" s="325"/>
      <c r="H26" s="312"/>
      <c r="I26" s="312"/>
      <c r="J26" s="310"/>
      <c r="K26" s="308"/>
      <c r="L26" s="313"/>
      <c r="M26" s="313"/>
      <c r="N26" s="313"/>
      <c r="P26" s="327"/>
      <c r="Q26" s="314"/>
      <c r="R26" s="313"/>
      <c r="S26" s="73"/>
      <c r="U26" s="78"/>
      <c r="Z26"/>
      <c r="AB26" s="74"/>
      <c r="AG26"/>
      <c r="AH26"/>
      <c r="AI26" s="74"/>
      <c r="AJ26" s="74"/>
      <c r="AM26"/>
      <c r="AN26"/>
    </row>
    <row r="27" spans="2:40" ht="18.75" customHeight="1">
      <c r="B27" s="261" t="s">
        <v>410</v>
      </c>
      <c r="C27" s="208"/>
      <c r="D27" s="311"/>
      <c r="E27" s="325"/>
      <c r="F27" s="311"/>
      <c r="G27" s="325"/>
      <c r="H27" s="311"/>
      <c r="I27" s="312"/>
      <c r="J27" s="609"/>
      <c r="K27" s="308"/>
      <c r="L27" s="609"/>
      <c r="M27" s="313"/>
      <c r="N27" s="609"/>
      <c r="P27" s="322">
        <f>'2a. Replacement_InputForm'!N13</f>
        <v>0</v>
      </c>
      <c r="Q27" s="314"/>
      <c r="R27" s="322">
        <f>P27</f>
        <v>0</v>
      </c>
      <c r="S27" s="73"/>
      <c r="U27" s="78"/>
      <c r="Z27"/>
      <c r="AB27" s="74"/>
      <c r="AG27"/>
      <c r="AH27"/>
      <c r="AI27" s="74"/>
      <c r="AJ27" s="74"/>
      <c r="AM27"/>
      <c r="AN27"/>
    </row>
    <row r="28" spans="2:40" ht="6.75" customHeight="1">
      <c r="B28" s="261"/>
      <c r="C28" s="208"/>
      <c r="D28" s="209"/>
      <c r="F28" s="209"/>
      <c r="H28" s="274"/>
      <c r="I28" s="209"/>
      <c r="J28" s="210"/>
      <c r="K28" s="210"/>
      <c r="L28" s="211"/>
      <c r="M28" s="211"/>
      <c r="N28" s="213"/>
      <c r="P28" s="211"/>
      <c r="Q28" s="212"/>
      <c r="R28" s="213"/>
      <c r="S28" s="73"/>
      <c r="U28" s="78"/>
      <c r="Z28"/>
      <c r="AB28" s="74"/>
      <c r="AG28"/>
      <c r="AH28"/>
      <c r="AI28" s="74"/>
      <c r="AJ28" s="74"/>
      <c r="AM28"/>
      <c r="AN28"/>
    </row>
    <row r="29" spans="2:40" ht="18.75" customHeight="1">
      <c r="B29" s="261" t="s">
        <v>107</v>
      </c>
      <c r="C29" s="208"/>
      <c r="D29" s="322">
        <f>D23+D25+D27</f>
        <v>0</v>
      </c>
      <c r="E29" s="323"/>
      <c r="F29" s="322">
        <f>F23+F25+F27</f>
        <v>0</v>
      </c>
      <c r="G29" s="323"/>
      <c r="H29" s="322">
        <f>H23+H25+H27</f>
        <v>0</v>
      </c>
      <c r="I29" s="249"/>
      <c r="J29" s="322">
        <f>J23+J25+J27</f>
        <v>0</v>
      </c>
      <c r="K29" s="250"/>
      <c r="L29" s="322">
        <f>L23+L25+L27</f>
        <v>0</v>
      </c>
      <c r="M29" s="251"/>
      <c r="N29" s="322">
        <f>N23+N25+N27</f>
        <v>0</v>
      </c>
      <c r="P29" s="322">
        <f>P23+P25+P27</f>
        <v>0</v>
      </c>
      <c r="Q29" s="324"/>
      <c r="R29" s="322">
        <f>R23+R25+R27</f>
        <v>0</v>
      </c>
      <c r="S29" s="73"/>
      <c r="U29" s="78"/>
      <c r="Z29"/>
      <c r="AB29" s="74"/>
      <c r="AG29"/>
      <c r="AH29"/>
      <c r="AI29" s="74"/>
      <c r="AJ29" s="74"/>
      <c r="AM29"/>
      <c r="AN29"/>
    </row>
    <row r="30" spans="2:40" ht="26.25" customHeight="1">
      <c r="B30" s="261"/>
      <c r="C30" s="208"/>
      <c r="D30" s="214"/>
      <c r="E30" s="209"/>
      <c r="F30" s="214"/>
      <c r="G30" s="210"/>
      <c r="H30" s="263"/>
      <c r="I30" s="210"/>
      <c r="J30" s="214"/>
      <c r="K30" s="211"/>
      <c r="L30" s="214"/>
      <c r="M30" s="212"/>
      <c r="N30" s="214"/>
      <c r="S30" s="73"/>
      <c r="T30" s="73"/>
      <c r="U30" s="78"/>
      <c r="Z30"/>
      <c r="AB30" s="74"/>
      <c r="AG30"/>
      <c r="AH30"/>
      <c r="AI30" s="74"/>
      <c r="AJ30" s="74"/>
      <c r="AM30"/>
      <c r="AN30"/>
    </row>
    <row r="31" spans="2:40" ht="18.75" customHeight="1">
      <c r="B31" s="261"/>
      <c r="C31" s="208"/>
      <c r="D31" s="214"/>
      <c r="E31" s="209"/>
      <c r="F31" s="214"/>
      <c r="G31" s="210"/>
      <c r="H31" s="263"/>
      <c r="I31" s="210"/>
      <c r="J31" s="214"/>
      <c r="K31" s="211"/>
      <c r="L31" s="214"/>
      <c r="M31" s="212"/>
      <c r="N31" s="214"/>
      <c r="S31" s="73"/>
      <c r="T31" s="73"/>
      <c r="U31" s="78"/>
      <c r="Z31"/>
      <c r="AB31" s="74"/>
      <c r="AG31"/>
      <c r="AH31"/>
      <c r="AI31" s="74"/>
      <c r="AJ31" s="74"/>
      <c r="AM31"/>
      <c r="AN31"/>
    </row>
    <row r="32" spans="2:40" ht="11.25" customHeight="1">
      <c r="B32" s="261"/>
      <c r="C32" s="208"/>
      <c r="D32" s="214"/>
      <c r="E32" s="209"/>
      <c r="F32" s="214"/>
      <c r="G32" s="210"/>
      <c r="H32" s="263"/>
      <c r="I32" s="210"/>
      <c r="J32" s="214"/>
      <c r="K32" s="211"/>
      <c r="L32" s="214"/>
      <c r="M32" s="212"/>
      <c r="N32" s="214"/>
      <c r="S32" s="73"/>
      <c r="T32" s="73"/>
      <c r="U32" s="78"/>
      <c r="Z32"/>
      <c r="AB32" s="74"/>
      <c r="AG32"/>
      <c r="AH32"/>
      <c r="AI32" s="74"/>
      <c r="AJ32" s="74"/>
      <c r="AM32"/>
      <c r="AN32"/>
    </row>
    <row r="33" spans="2:40" ht="18.75" customHeight="1">
      <c r="B33" s="252"/>
      <c r="C33" s="252"/>
      <c r="D33" s="253" t="s">
        <v>587</v>
      </c>
      <c r="E33" s="256"/>
      <c r="F33" s="657" t="s">
        <v>586</v>
      </c>
      <c r="G33" s="262"/>
      <c r="H33" s="263"/>
      <c r="I33" s="262"/>
      <c r="J33" s="263"/>
      <c r="K33" s="264"/>
      <c r="L33" s="263"/>
      <c r="M33" s="212"/>
      <c r="N33" s="263"/>
      <c r="S33" s="73"/>
      <c r="T33" s="73"/>
      <c r="U33" s="78"/>
      <c r="V33" s="260"/>
      <c r="W33" s="260"/>
      <c r="X33" s="260"/>
      <c r="Y33" s="260"/>
      <c r="Z33" s="260"/>
      <c r="AA33" s="260"/>
      <c r="AB33" s="74"/>
      <c r="AC33" s="260"/>
      <c r="AD33" s="260"/>
      <c r="AE33" s="260"/>
      <c r="AF33" s="260"/>
      <c r="AG33" s="260"/>
      <c r="AH33" s="260"/>
      <c r="AI33" s="74"/>
      <c r="AJ33" s="74"/>
      <c r="AK33" s="260"/>
      <c r="AL33" s="260"/>
      <c r="AM33" s="260"/>
      <c r="AN33" s="260"/>
    </row>
    <row r="34" spans="2:40" ht="18.75" customHeight="1">
      <c r="B34" s="261" t="s">
        <v>407</v>
      </c>
      <c r="C34" s="208"/>
      <c r="D34" s="311"/>
      <c r="E34" s="283"/>
      <c r="F34" s="609"/>
      <c r="G34" s="210"/>
      <c r="H34" s="265" t="s">
        <v>41</v>
      </c>
      <c r="I34" s="210"/>
      <c r="J34" s="214"/>
      <c r="K34" s="211"/>
      <c r="L34" s="214"/>
      <c r="M34" s="212"/>
      <c r="N34" s="214"/>
      <c r="S34" s="73"/>
      <c r="T34" s="73"/>
      <c r="U34" s="78"/>
      <c r="Z34"/>
      <c r="AB34" s="74"/>
      <c r="AG34"/>
      <c r="AH34"/>
      <c r="AI34" s="74"/>
      <c r="AJ34" s="74"/>
      <c r="AM34"/>
      <c r="AN34"/>
    </row>
    <row r="35" spans="2:40" ht="9" customHeight="1">
      <c r="B35" s="252"/>
      <c r="C35" s="207"/>
      <c r="D35" s="284"/>
      <c r="E35" s="284"/>
      <c r="F35" s="285"/>
      <c r="G35" s="210"/>
      <c r="H35" s="263"/>
      <c r="I35" s="210"/>
      <c r="J35" s="214"/>
      <c r="K35" s="211"/>
      <c r="L35" s="214"/>
      <c r="M35" s="212"/>
      <c r="N35" s="214"/>
      <c r="S35" s="73"/>
      <c r="T35" s="73"/>
      <c r="U35" s="78"/>
      <c r="Z35"/>
      <c r="AB35" s="74"/>
      <c r="AG35"/>
      <c r="AH35"/>
      <c r="AI35" s="74"/>
      <c r="AJ35" s="74"/>
      <c r="AM35"/>
      <c r="AN35"/>
    </row>
    <row r="36" spans="2:40" ht="18.75" customHeight="1">
      <c r="B36" s="261" t="s">
        <v>141</v>
      </c>
      <c r="C36" s="208"/>
      <c r="D36" s="311"/>
      <c r="E36" s="283"/>
      <c r="F36" s="609"/>
      <c r="G36" s="210"/>
      <c r="H36" s="265" t="s">
        <v>41</v>
      </c>
      <c r="I36" s="210"/>
      <c r="J36" s="214"/>
      <c r="K36" s="211"/>
      <c r="L36" s="214"/>
      <c r="M36" s="212"/>
      <c r="N36" s="214"/>
      <c r="S36" s="73"/>
      <c r="T36" s="73"/>
      <c r="U36" s="78"/>
      <c r="Z36"/>
      <c r="AB36" s="74"/>
      <c r="AG36"/>
      <c r="AH36"/>
      <c r="AI36" s="74"/>
      <c r="AJ36" s="74"/>
      <c r="AM36"/>
      <c r="AN36"/>
    </row>
    <row r="37" spans="2:40" ht="9" customHeight="1">
      <c r="B37" s="261"/>
      <c r="C37" s="208"/>
      <c r="D37" s="283"/>
      <c r="E37" s="283"/>
      <c r="F37" s="285"/>
      <c r="G37" s="210"/>
      <c r="H37" s="263"/>
      <c r="I37" s="210"/>
      <c r="J37" s="214"/>
      <c r="K37" s="211"/>
      <c r="L37" s="214"/>
      <c r="M37" s="212"/>
      <c r="N37" s="214"/>
      <c r="S37" s="73"/>
      <c r="T37" s="73"/>
      <c r="U37" s="78"/>
      <c r="Z37"/>
      <c r="AB37" s="74"/>
      <c r="AG37"/>
      <c r="AH37"/>
      <c r="AI37" s="74"/>
      <c r="AJ37" s="74"/>
      <c r="AM37"/>
      <c r="AN37"/>
    </row>
    <row r="38" spans="2:40" ht="18.75" customHeight="1">
      <c r="B38" s="261" t="s">
        <v>410</v>
      </c>
      <c r="C38" s="208"/>
      <c r="D38" s="311"/>
      <c r="E38" s="283"/>
      <c r="F38" s="609"/>
      <c r="G38" s="210"/>
      <c r="H38" s="265" t="s">
        <v>41</v>
      </c>
      <c r="I38" s="210"/>
      <c r="J38" s="214"/>
      <c r="K38" s="211"/>
      <c r="L38" s="214"/>
      <c r="M38" s="212"/>
      <c r="N38" s="214"/>
      <c r="S38" s="73"/>
      <c r="T38" s="73"/>
      <c r="U38" s="78"/>
      <c r="Z38"/>
      <c r="AB38" s="74"/>
      <c r="AG38"/>
      <c r="AH38"/>
      <c r="AI38" s="74"/>
      <c r="AJ38" s="74"/>
      <c r="AM38"/>
      <c r="AN38"/>
    </row>
    <row r="39" spans="2:40" ht="8.25" customHeight="1">
      <c r="B39" s="261"/>
      <c r="C39" s="208"/>
      <c r="D39" s="209"/>
      <c r="E39" s="209"/>
      <c r="F39" s="210"/>
      <c r="G39" s="210"/>
      <c r="H39" s="263"/>
      <c r="I39" s="210"/>
      <c r="J39" s="214"/>
      <c r="K39" s="211"/>
      <c r="L39" s="214"/>
      <c r="M39" s="212"/>
      <c r="N39" s="214"/>
      <c r="S39" s="73"/>
      <c r="T39" s="73"/>
      <c r="U39" s="78"/>
      <c r="Z39"/>
      <c r="AB39" s="74"/>
      <c r="AG39"/>
      <c r="AH39"/>
      <c r="AI39" s="74"/>
      <c r="AJ39" s="74"/>
      <c r="AM39"/>
      <c r="AN39"/>
    </row>
    <row r="40" spans="2:40" s="80" customFormat="1" ht="19.5" customHeight="1">
      <c r="D40" s="79"/>
      <c r="E40" s="79"/>
      <c r="F40" s="79"/>
      <c r="G40" s="79"/>
      <c r="H40" s="79"/>
      <c r="I40" s="79"/>
      <c r="J40" s="79"/>
      <c r="K40" s="79"/>
    </row>
    <row r="41" spans="2:40" s="80" customFormat="1" ht="19.5" customHeight="1">
      <c r="D41" s="79"/>
      <c r="E41" s="79"/>
      <c r="F41" s="79"/>
      <c r="G41" s="79"/>
      <c r="H41" s="79"/>
      <c r="I41" s="79"/>
      <c r="J41" s="79"/>
      <c r="K41" s="79"/>
    </row>
    <row r="42" spans="2:40" s="80" customFormat="1" ht="10.5" customHeight="1">
      <c r="D42" s="79"/>
      <c r="E42" s="79"/>
      <c r="F42" s="79"/>
      <c r="G42" s="79"/>
      <c r="H42" s="79"/>
      <c r="I42" s="79"/>
      <c r="J42" s="79"/>
      <c r="K42" s="79"/>
    </row>
    <row r="43" spans="2:40" s="80" customFormat="1" ht="30">
      <c r="D43" s="273" t="s">
        <v>259</v>
      </c>
      <c r="E43" s="79"/>
      <c r="F43" s="273" t="s">
        <v>260</v>
      </c>
      <c r="G43" s="79"/>
      <c r="H43" s="79"/>
      <c r="I43" s="79"/>
      <c r="J43" s="79"/>
      <c r="K43" s="79"/>
    </row>
    <row r="44" spans="2:40" s="80" customFormat="1" ht="19.5" customHeight="1">
      <c r="B44" s="266" t="s">
        <v>257</v>
      </c>
      <c r="D44" s="226"/>
      <c r="E44" s="228"/>
      <c r="F44" s="226"/>
      <c r="G44" s="79"/>
      <c r="H44" s="219" t="s">
        <v>444</v>
      </c>
      <c r="I44" s="79"/>
      <c r="J44" s="79"/>
      <c r="K44" s="79"/>
    </row>
    <row r="45" spans="2:40" s="80" customFormat="1" ht="6.75" customHeight="1">
      <c r="D45" s="228"/>
      <c r="E45" s="228"/>
      <c r="F45" s="228"/>
      <c r="G45" s="79"/>
      <c r="H45" s="79"/>
      <c r="I45" s="79"/>
      <c r="J45" s="79"/>
      <c r="K45" s="79"/>
    </row>
    <row r="46" spans="2:40" s="80" customFormat="1" ht="19.5" customHeight="1">
      <c r="B46" s="266" t="s">
        <v>42</v>
      </c>
      <c r="D46" s="226"/>
      <c r="E46" s="228"/>
      <c r="F46" s="226"/>
      <c r="G46" s="79"/>
      <c r="H46" s="216" t="s">
        <v>258</v>
      </c>
      <c r="I46" s="79"/>
      <c r="J46" s="79"/>
      <c r="K46" s="79"/>
    </row>
    <row r="47" spans="2:40" s="80" customFormat="1" ht="6" customHeight="1">
      <c r="D47" s="228"/>
      <c r="E47" s="228"/>
      <c r="F47" s="228"/>
      <c r="G47" s="79"/>
      <c r="H47" s="79"/>
      <c r="I47" s="79"/>
      <c r="J47" s="79"/>
      <c r="K47" s="79"/>
    </row>
    <row r="48" spans="2:40" s="80" customFormat="1" ht="19.5" customHeight="1">
      <c r="B48" s="266" t="s">
        <v>50</v>
      </c>
      <c r="D48" s="226"/>
      <c r="E48" s="228"/>
      <c r="F48" s="226"/>
      <c r="G48" s="79"/>
      <c r="H48" s="219" t="s">
        <v>261</v>
      </c>
      <c r="I48" s="79"/>
      <c r="J48" s="79"/>
      <c r="K48" s="79"/>
    </row>
    <row r="49" spans="2:14" s="80" customFormat="1" ht="6.75" customHeight="1">
      <c r="D49" s="289"/>
      <c r="E49" s="289"/>
      <c r="F49" s="289"/>
      <c r="G49" s="79"/>
      <c r="H49" s="79"/>
      <c r="I49" s="79"/>
      <c r="J49" s="79"/>
      <c r="K49" s="79"/>
    </row>
    <row r="50" spans="2:14" s="80" customFormat="1" ht="19.5" customHeight="1">
      <c r="B50" s="266" t="s">
        <v>262</v>
      </c>
      <c r="D50" s="320">
        <f>D44+D46-D48</f>
        <v>0</v>
      </c>
      <c r="E50" s="289"/>
      <c r="F50" s="320">
        <f>F44+F46-F48</f>
        <v>0</v>
      </c>
      <c r="G50" s="79"/>
      <c r="H50" s="219" t="s">
        <v>445</v>
      </c>
      <c r="I50" s="79"/>
      <c r="J50" s="79"/>
      <c r="K50" s="79"/>
    </row>
    <row r="51" spans="2:14" s="80" customFormat="1" ht="52.5" customHeight="1">
      <c r="B51" s="221"/>
      <c r="D51" s="220"/>
      <c r="E51" s="220"/>
      <c r="F51" s="220"/>
      <c r="G51" s="79"/>
      <c r="H51" s="79"/>
      <c r="I51" s="79"/>
      <c r="J51" s="79"/>
      <c r="K51" s="79"/>
    </row>
    <row r="52" spans="2:14" s="80" customFormat="1" ht="52.5" customHeight="1">
      <c r="B52" s="221"/>
      <c r="D52" s="220"/>
      <c r="E52" s="220"/>
      <c r="F52" s="220"/>
      <c r="G52" s="79"/>
      <c r="H52" s="79"/>
      <c r="I52" s="79"/>
      <c r="J52" s="79"/>
      <c r="K52" s="79"/>
    </row>
    <row r="53" spans="2:14" s="80" customFormat="1" ht="21.75" customHeight="1">
      <c r="B53" s="221"/>
      <c r="D53" s="855" t="s">
        <v>265</v>
      </c>
      <c r="E53" s="855"/>
      <c r="F53" s="855"/>
      <c r="G53" s="855"/>
      <c r="H53" s="855"/>
      <c r="I53" s="79"/>
      <c r="J53" s="856" t="s">
        <v>266</v>
      </c>
      <c r="K53" s="856"/>
      <c r="L53" s="856"/>
      <c r="M53" s="856"/>
      <c r="N53" s="856"/>
    </row>
    <row r="54" spans="2:14" s="80" customFormat="1" ht="30" customHeight="1">
      <c r="B54" s="221"/>
      <c r="D54" s="273" t="s">
        <v>0</v>
      </c>
      <c r="E54" s="79"/>
      <c r="F54" s="273" t="s">
        <v>269</v>
      </c>
      <c r="G54" s="79"/>
      <c r="H54" s="273" t="s">
        <v>270</v>
      </c>
      <c r="I54" s="79"/>
      <c r="J54" s="273" t="s">
        <v>0</v>
      </c>
      <c r="K54" s="79"/>
      <c r="L54" s="273" t="s">
        <v>269</v>
      </c>
      <c r="M54" s="79"/>
      <c r="N54" s="273" t="s">
        <v>270</v>
      </c>
    </row>
    <row r="55" spans="2:14" s="80" customFormat="1" ht="3.75" customHeight="1">
      <c r="B55" s="221"/>
      <c r="D55" s="220"/>
      <c r="E55" s="220"/>
      <c r="F55" s="220"/>
      <c r="G55" s="79"/>
      <c r="H55" s="79"/>
      <c r="I55" s="79"/>
      <c r="J55" s="220"/>
      <c r="K55" s="220"/>
      <c r="L55" s="220"/>
      <c r="M55" s="79"/>
      <c r="N55" s="79"/>
    </row>
    <row r="56" spans="2:14" s="80" customFormat="1" ht="19.5" customHeight="1">
      <c r="B56" s="221" t="s">
        <v>263</v>
      </c>
      <c r="D56" s="226"/>
      <c r="E56" s="525"/>
      <c r="F56" s="226"/>
      <c r="G56" s="526"/>
      <c r="H56" s="524"/>
      <c r="I56" s="526"/>
      <c r="J56" s="226"/>
      <c r="K56" s="525"/>
      <c r="L56" s="226"/>
      <c r="M56" s="526"/>
      <c r="N56" s="524"/>
    </row>
    <row r="57" spans="2:14" s="80" customFormat="1" ht="6.75" customHeight="1">
      <c r="D57" s="525"/>
      <c r="E57" s="525"/>
      <c r="F57" s="525"/>
      <c r="G57" s="526"/>
      <c r="H57" s="527"/>
      <c r="I57" s="526"/>
      <c r="J57" s="525"/>
      <c r="K57" s="525"/>
      <c r="L57" s="525"/>
      <c r="M57" s="526"/>
      <c r="N57" s="527"/>
    </row>
    <row r="58" spans="2:14" s="80" customFormat="1" ht="19.5" customHeight="1">
      <c r="B58" s="221" t="s">
        <v>264</v>
      </c>
      <c r="D58" s="226"/>
      <c r="E58" s="525"/>
      <c r="F58" s="226"/>
      <c r="G58" s="526"/>
      <c r="H58" s="524"/>
      <c r="I58" s="526"/>
      <c r="J58" s="226"/>
      <c r="K58" s="525"/>
      <c r="L58" s="226"/>
      <c r="M58" s="526"/>
      <c r="N58" s="524"/>
    </row>
    <row r="59" spans="2:14" s="80" customFormat="1" ht="6.75" customHeight="1">
      <c r="B59" s="221"/>
      <c r="D59" s="290"/>
      <c r="E59" s="526"/>
      <c r="F59" s="290"/>
      <c r="G59" s="526"/>
      <c r="H59" s="527"/>
      <c r="I59" s="526"/>
      <c r="J59" s="525"/>
      <c r="K59" s="525"/>
      <c r="L59" s="528"/>
      <c r="M59" s="529"/>
      <c r="N59" s="530"/>
    </row>
    <row r="60" spans="2:14" s="80" customFormat="1" ht="19.5" customHeight="1">
      <c r="B60" s="221" t="s">
        <v>268</v>
      </c>
      <c r="D60" s="290"/>
      <c r="E60" s="531"/>
      <c r="F60" s="290"/>
      <c r="G60" s="531"/>
      <c r="H60" s="532"/>
      <c r="I60" s="526"/>
      <c r="J60" s="226"/>
      <c r="K60" s="525"/>
      <c r="L60" s="226"/>
      <c r="M60" s="526"/>
      <c r="N60" s="524"/>
    </row>
    <row r="61" spans="2:14" s="80" customFormat="1" ht="6.75" customHeight="1">
      <c r="B61" s="221"/>
      <c r="D61" s="290"/>
      <c r="E61" s="526"/>
      <c r="F61" s="290"/>
      <c r="G61" s="526"/>
      <c r="H61" s="527"/>
      <c r="I61" s="526"/>
      <c r="J61" s="526"/>
      <c r="K61" s="526"/>
      <c r="L61" s="529"/>
      <c r="M61" s="529"/>
      <c r="N61" s="529"/>
    </row>
    <row r="62" spans="2:14" s="80" customFormat="1" ht="19.5" customHeight="1">
      <c r="B62" s="221" t="s">
        <v>267</v>
      </c>
      <c r="D62" s="226"/>
      <c r="E62" s="525"/>
      <c r="F62" s="226"/>
      <c r="G62" s="526"/>
      <c r="H62" s="524"/>
      <c r="I62" s="526"/>
      <c r="J62" s="526"/>
      <c r="K62" s="526"/>
      <c r="L62" s="529"/>
      <c r="M62" s="529"/>
      <c r="N62" s="529"/>
    </row>
    <row r="63" spans="2:14" s="659" customFormat="1" ht="27.75" customHeight="1">
      <c r="B63" s="658" t="s">
        <v>46</v>
      </c>
      <c r="D63" s="854" t="str">
        <f>IF(D56+D58+D62=D50, "Matches # weaned as calculated in Step 4", "ERROR. Does not match # weaned calculated as weaned in Step 4")</f>
        <v>Matches # weaned as calculated in Step 4</v>
      </c>
      <c r="E63" s="854"/>
      <c r="F63" s="854"/>
      <c r="G63" s="854"/>
      <c r="H63" s="854"/>
      <c r="I63" s="660"/>
      <c r="J63" s="854" t="str">
        <f>IF(J56+J58+J60=F50, "Matches # weaned as calculated in Step 4", "ERROR. Does not match # weaned as calculated as weaned in Step 4")</f>
        <v>Matches # weaned as calculated in Step 4</v>
      </c>
      <c r="K63" s="854"/>
      <c r="L63" s="854"/>
      <c r="M63" s="854"/>
      <c r="N63" s="854"/>
    </row>
    <row r="64" spans="2:14" s="80" customFormat="1" ht="19.5" customHeight="1">
      <c r="B64" s="221"/>
      <c r="D64" s="222"/>
      <c r="E64" s="79"/>
      <c r="F64" s="222"/>
      <c r="G64" s="79"/>
      <c r="H64" s="79"/>
      <c r="I64" s="79"/>
      <c r="J64" s="79"/>
      <c r="K64" s="79"/>
    </row>
    <row r="65" spans="2:20" s="80" customFormat="1" ht="30.75" customHeight="1">
      <c r="D65" s="79"/>
      <c r="E65" s="79"/>
      <c r="F65" s="79"/>
      <c r="G65" s="79"/>
      <c r="H65" s="79"/>
      <c r="I65" s="79"/>
      <c r="J65" s="79"/>
      <c r="K65" s="79"/>
      <c r="M65" s="174"/>
      <c r="N65" s="85"/>
      <c r="O65" s="84"/>
      <c r="P65" s="187"/>
      <c r="R65" s="79"/>
      <c r="S65" s="83"/>
    </row>
    <row r="66" spans="2:20" s="80" customFormat="1" ht="19.5" customHeight="1">
      <c r="D66" s="79"/>
      <c r="E66" s="79"/>
      <c r="F66" s="79"/>
      <c r="G66" s="79"/>
      <c r="H66" s="79"/>
      <c r="I66" s="79"/>
      <c r="J66" s="79"/>
      <c r="K66" s="79"/>
      <c r="M66" s="174"/>
      <c r="N66" s="85"/>
      <c r="O66" s="84"/>
      <c r="P66" s="187"/>
      <c r="R66" s="79"/>
      <c r="S66" s="83"/>
    </row>
    <row r="67" spans="2:20" s="80" customFormat="1" ht="19.5" customHeight="1">
      <c r="D67" s="79"/>
      <c r="E67" s="79"/>
      <c r="F67" s="79"/>
      <c r="G67" s="79"/>
      <c r="H67" s="79"/>
      <c r="I67" s="79"/>
      <c r="J67" s="79"/>
      <c r="K67" s="79"/>
      <c r="M67" s="174"/>
      <c r="N67" s="85"/>
      <c r="O67" s="84"/>
      <c r="P67" s="187"/>
      <c r="R67" s="79"/>
      <c r="S67" s="83"/>
    </row>
    <row r="68" spans="2:20" s="80" customFormat="1" ht="19.5" customHeight="1">
      <c r="D68" s="79"/>
      <c r="E68" s="79"/>
      <c r="F68" s="79"/>
      <c r="G68" s="79"/>
      <c r="H68" s="79"/>
      <c r="I68" s="79"/>
      <c r="J68" s="79"/>
      <c r="K68" s="79"/>
      <c r="M68" s="174"/>
      <c r="N68" s="85"/>
      <c r="O68" s="84"/>
      <c r="P68" s="187"/>
      <c r="R68" s="79"/>
      <c r="S68" s="83"/>
    </row>
    <row r="69" spans="2:20" s="80" customFormat="1" ht="33.75" customHeight="1">
      <c r="B69" s="224" t="s">
        <v>276</v>
      </c>
      <c r="D69" s="273" t="s">
        <v>0</v>
      </c>
      <c r="E69" s="79"/>
      <c r="F69" s="273" t="s">
        <v>269</v>
      </c>
      <c r="G69" s="79"/>
      <c r="H69" s="273" t="s">
        <v>275</v>
      </c>
      <c r="I69" s="79"/>
      <c r="J69" s="741"/>
      <c r="K69" s="741"/>
      <c r="L69" s="740"/>
      <c r="M69" s="754"/>
      <c r="N69" s="748"/>
      <c r="O69" s="749"/>
      <c r="P69" s="755"/>
      <c r="Q69" s="740"/>
      <c r="R69" s="741"/>
      <c r="S69" s="83"/>
    </row>
    <row r="70" spans="2:20" s="80" customFormat="1" ht="6" customHeight="1">
      <c r="B70" s="223"/>
      <c r="D70" s="218"/>
      <c r="E70" s="79"/>
      <c r="F70" s="218"/>
      <c r="G70" s="79"/>
      <c r="H70" s="273"/>
      <c r="I70" s="79"/>
      <c r="J70" s="741"/>
      <c r="K70" s="741"/>
      <c r="L70" s="740"/>
      <c r="M70" s="747"/>
      <c r="N70" s="748"/>
      <c r="O70" s="749"/>
      <c r="P70" s="750"/>
      <c r="Q70" s="740"/>
      <c r="R70" s="741"/>
      <c r="S70" s="83"/>
    </row>
    <row r="71" spans="2:20" s="80" customFormat="1" ht="19.5" customHeight="1">
      <c r="B71" s="267" t="s">
        <v>272</v>
      </c>
      <c r="D71" s="226"/>
      <c r="E71" s="286"/>
      <c r="F71" s="226"/>
      <c r="G71" s="286"/>
      <c r="H71" s="644"/>
      <c r="I71" s="79"/>
      <c r="J71" s="741"/>
      <c r="K71" s="741"/>
      <c r="L71" s="740"/>
      <c r="M71" s="747"/>
      <c r="N71" s="748"/>
      <c r="O71" s="749"/>
      <c r="P71" s="750"/>
      <c r="Q71" s="740"/>
      <c r="R71" s="741"/>
      <c r="S71" s="662"/>
      <c r="T71" s="740"/>
    </row>
    <row r="72" spans="2:20" s="80" customFormat="1" ht="6.75" customHeight="1">
      <c r="D72" s="228"/>
      <c r="E72" s="286"/>
      <c r="F72" s="228"/>
      <c r="G72" s="286"/>
      <c r="H72" s="230"/>
      <c r="I72" s="79"/>
      <c r="J72" s="741"/>
      <c r="K72" s="741"/>
      <c r="L72" s="740"/>
      <c r="M72" s="747"/>
      <c r="N72" s="748"/>
      <c r="O72" s="749"/>
      <c r="P72" s="750"/>
      <c r="Q72" s="740"/>
      <c r="R72" s="741"/>
      <c r="S72" s="662"/>
      <c r="T72" s="740"/>
    </row>
    <row r="73" spans="2:20" s="80" customFormat="1" ht="19.5" customHeight="1">
      <c r="B73" s="267" t="s">
        <v>273</v>
      </c>
      <c r="D73" s="226"/>
      <c r="E73" s="286"/>
      <c r="F73" s="226"/>
      <c r="G73" s="286"/>
      <c r="H73" s="644"/>
      <c r="I73" s="79"/>
      <c r="J73" s="741"/>
      <c r="K73" s="741"/>
      <c r="L73" s="740"/>
      <c r="M73" s="747"/>
      <c r="N73" s="748"/>
      <c r="O73" s="749"/>
      <c r="P73" s="750"/>
      <c r="Q73" s="740"/>
      <c r="R73" s="741"/>
      <c r="S73" s="662"/>
      <c r="T73" s="740"/>
    </row>
    <row r="74" spans="2:20" s="80" customFormat="1" ht="5.25" customHeight="1">
      <c r="D74" s="228"/>
      <c r="E74" s="286"/>
      <c r="F74" s="228"/>
      <c r="G74" s="286"/>
      <c r="H74" s="230"/>
      <c r="I74" s="79"/>
      <c r="J74" s="741"/>
      <c r="K74" s="741"/>
      <c r="L74" s="740"/>
      <c r="M74" s="747"/>
      <c r="N74" s="748"/>
      <c r="O74" s="749"/>
      <c r="P74" s="750"/>
      <c r="Q74" s="740"/>
      <c r="R74" s="741"/>
      <c r="S74" s="662"/>
      <c r="T74" s="740"/>
    </row>
    <row r="75" spans="2:20" s="80" customFormat="1" ht="19.5" customHeight="1">
      <c r="B75" s="267" t="s">
        <v>274</v>
      </c>
      <c r="D75" s="328">
        <f>L23</f>
        <v>0</v>
      </c>
      <c r="E75" s="286"/>
      <c r="F75" s="226"/>
      <c r="G75" s="286"/>
      <c r="H75" s="644"/>
      <c r="I75" s="79"/>
      <c r="J75" s="741"/>
      <c r="K75" s="741"/>
      <c r="L75" s="740"/>
      <c r="M75" s="747"/>
      <c r="N75" s="748"/>
      <c r="O75" s="749"/>
      <c r="P75" s="750"/>
      <c r="Q75" s="740"/>
      <c r="R75" s="741"/>
      <c r="S75" s="662"/>
      <c r="T75" s="740"/>
    </row>
    <row r="76" spans="2:20" s="80" customFormat="1" ht="19.5" customHeight="1">
      <c r="D76" s="79"/>
      <c r="E76" s="79"/>
      <c r="F76" s="79"/>
      <c r="G76" s="79"/>
      <c r="H76" s="79"/>
      <c r="I76" s="79"/>
      <c r="J76" s="741"/>
      <c r="K76" s="741"/>
      <c r="L76" s="740"/>
      <c r="M76" s="747"/>
      <c r="N76" s="748"/>
      <c r="O76" s="749"/>
      <c r="P76" s="750"/>
      <c r="Q76" s="740"/>
      <c r="R76" s="741"/>
      <c r="S76" s="662"/>
      <c r="T76" s="740"/>
    </row>
    <row r="77" spans="2:20" s="80" customFormat="1" ht="30" customHeight="1">
      <c r="B77" s="224" t="s">
        <v>277</v>
      </c>
      <c r="D77" s="273" t="s">
        <v>0</v>
      </c>
      <c r="E77" s="79"/>
      <c r="F77" s="273" t="s">
        <v>280</v>
      </c>
      <c r="G77" s="79"/>
      <c r="H77" s="275"/>
      <c r="I77" s="79"/>
      <c r="J77" s="741"/>
      <c r="K77" s="741"/>
      <c r="L77" s="740"/>
      <c r="M77" s="754"/>
      <c r="N77" s="748"/>
      <c r="O77" s="749"/>
      <c r="P77" s="755"/>
      <c r="Q77" s="740"/>
      <c r="R77" s="741"/>
      <c r="S77" s="662"/>
      <c r="T77" s="740"/>
    </row>
    <row r="78" spans="2:20" s="80" customFormat="1" ht="6" customHeight="1">
      <c r="B78" s="225"/>
      <c r="D78" s="218"/>
      <c r="E78" s="79"/>
      <c r="F78" s="218"/>
      <c r="G78" s="79"/>
      <c r="H78" s="275"/>
      <c r="I78" s="79"/>
      <c r="J78" s="741"/>
      <c r="K78" s="741"/>
      <c r="L78" s="740"/>
      <c r="M78" s="747"/>
      <c r="N78" s="748"/>
      <c r="O78" s="749"/>
      <c r="P78" s="750"/>
      <c r="Q78" s="740"/>
      <c r="R78" s="741"/>
      <c r="S78" s="662"/>
      <c r="T78" s="740"/>
    </row>
    <row r="79" spans="2:20" s="80" customFormat="1" ht="19.5" customHeight="1">
      <c r="B79" s="268" t="s">
        <v>279</v>
      </c>
      <c r="D79" s="226"/>
      <c r="E79" s="79"/>
      <c r="F79" s="227"/>
      <c r="G79" s="79"/>
      <c r="H79" s="662"/>
      <c r="I79" s="79"/>
      <c r="J79" s="741"/>
      <c r="K79" s="741"/>
      <c r="L79" s="740"/>
      <c r="M79" s="747"/>
      <c r="N79" s="748"/>
      <c r="O79" s="749"/>
      <c r="P79" s="750"/>
      <c r="Q79" s="740"/>
      <c r="R79" s="741"/>
      <c r="S79" s="662"/>
      <c r="T79" s="740"/>
    </row>
    <row r="80" spans="2:20" s="80" customFormat="1" ht="6.75" customHeight="1">
      <c r="B80" s="225"/>
      <c r="D80" s="79"/>
      <c r="E80" s="79"/>
      <c r="F80" s="79"/>
      <c r="G80" s="79"/>
      <c r="H80" s="83"/>
      <c r="I80" s="79"/>
      <c r="J80" s="741"/>
      <c r="K80" s="741"/>
      <c r="L80" s="740"/>
      <c r="M80" s="747"/>
      <c r="N80" s="748"/>
      <c r="O80" s="749"/>
      <c r="P80" s="750"/>
      <c r="Q80" s="740"/>
      <c r="R80" s="741"/>
      <c r="S80" s="662"/>
      <c r="T80" s="740"/>
    </row>
    <row r="81" spans="2:20" s="80" customFormat="1" ht="46.5" customHeight="1">
      <c r="B81" s="269" t="str">
        <f>"BRED FEMALES PURCHASED PRIOR TO "&amp;F3&amp;" CALVING"</f>
        <v>BRED FEMALES PURCHASED PRIOR TO 0 CALVING</v>
      </c>
      <c r="D81" s="226"/>
      <c r="E81" s="79"/>
      <c r="F81" s="227"/>
      <c r="G81" s="79"/>
      <c r="H81" s="662"/>
      <c r="I81" s="79"/>
      <c r="J81" s="741"/>
      <c r="K81" s="741"/>
      <c r="L81" s="740"/>
      <c r="M81" s="747"/>
      <c r="N81" s="748"/>
      <c r="O81" s="749"/>
      <c r="P81" s="750"/>
      <c r="Q81" s="740"/>
      <c r="R81" s="741"/>
      <c r="S81" s="662"/>
      <c r="T81" s="740"/>
    </row>
    <row r="82" spans="2:20" s="80" customFormat="1" ht="6.75" customHeight="1">
      <c r="D82" s="79"/>
      <c r="E82" s="79"/>
      <c r="F82" s="79"/>
      <c r="G82" s="79"/>
      <c r="H82" s="83"/>
      <c r="I82" s="79"/>
      <c r="J82" s="741"/>
      <c r="K82" s="741"/>
      <c r="L82" s="740"/>
      <c r="M82" s="747"/>
      <c r="N82" s="748"/>
      <c r="O82" s="749"/>
      <c r="P82" s="750"/>
      <c r="Q82" s="740"/>
      <c r="R82" s="741"/>
      <c r="S82" s="662"/>
      <c r="T82" s="740"/>
    </row>
    <row r="83" spans="2:20" s="80" customFormat="1" ht="53.25" customHeight="1">
      <c r="B83" s="269" t="str">
        <f>"BRED FEMALES PURCHASED AFTER "&amp;F3&amp;" CALVES BORN"</f>
        <v>BRED FEMALES PURCHASED AFTER 0 CALVES BORN</v>
      </c>
      <c r="D83" s="226"/>
      <c r="E83" s="286"/>
      <c r="F83" s="227"/>
      <c r="G83" s="79"/>
      <c r="H83" s="661" t="s">
        <v>281</v>
      </c>
      <c r="I83" s="79"/>
      <c r="J83" s="741"/>
      <c r="K83" s="741"/>
      <c r="L83" s="740"/>
      <c r="M83" s="747"/>
      <c r="N83" s="748"/>
      <c r="O83" s="749"/>
      <c r="P83" s="750"/>
      <c r="Q83" s="740"/>
      <c r="R83" s="741"/>
      <c r="S83" s="662"/>
      <c r="T83" s="740"/>
    </row>
    <row r="84" spans="2:20" s="80" customFormat="1" ht="19.5" customHeight="1">
      <c r="D84" s="79"/>
      <c r="E84" s="79"/>
      <c r="F84" s="79"/>
      <c r="G84" s="79"/>
      <c r="H84" s="79"/>
      <c r="I84" s="79"/>
      <c r="J84" s="79"/>
      <c r="K84" s="79"/>
      <c r="M84" s="174"/>
      <c r="N84" s="85"/>
      <c r="O84" s="84"/>
      <c r="P84" s="187"/>
      <c r="R84" s="79"/>
      <c r="S84" s="83"/>
    </row>
    <row r="85" spans="2:20" s="80" customFormat="1" ht="19.5" customHeight="1">
      <c r="D85" s="79"/>
      <c r="E85" s="79"/>
      <c r="F85" s="79"/>
      <c r="G85" s="79"/>
      <c r="H85" s="79"/>
      <c r="I85" s="79"/>
      <c r="J85" s="79"/>
      <c r="K85" s="79"/>
      <c r="M85" s="174"/>
      <c r="N85" s="85"/>
      <c r="O85" s="84"/>
      <c r="P85" s="187"/>
      <c r="R85" s="79"/>
      <c r="S85" s="83"/>
    </row>
    <row r="86" spans="2:20" s="64" customFormat="1" ht="16.5" customHeight="1">
      <c r="B86" s="74"/>
      <c r="H86" s="74"/>
    </row>
    <row r="87" spans="2:20" s="64" customFormat="1" ht="39.75" customHeight="1">
      <c r="B87" s="270"/>
      <c r="C87" s="90"/>
      <c r="D87" s="86"/>
      <c r="E87" s="86"/>
      <c r="F87" s="86"/>
      <c r="G87" s="86"/>
      <c r="H87" s="276"/>
      <c r="I87" s="86"/>
      <c r="J87" s="86"/>
    </row>
    <row r="88" spans="2:20" s="64" customFormat="1" ht="17.25" customHeight="1">
      <c r="B88" s="74"/>
      <c r="D88" s="87"/>
      <c r="E88" s="87"/>
      <c r="F88" s="87"/>
      <c r="G88" s="87"/>
      <c r="H88" s="277"/>
      <c r="I88" s="87"/>
      <c r="J88" s="68"/>
      <c r="K88" s="94"/>
      <c r="L88" s="231"/>
    </row>
    <row r="89" spans="2:20" s="64" customFormat="1" ht="24" customHeight="1">
      <c r="B89" s="857" t="s">
        <v>284</v>
      </c>
      <c r="C89" s="857"/>
      <c r="D89" s="857"/>
      <c r="E89" s="857"/>
      <c r="F89" s="857"/>
      <c r="G89" s="239"/>
      <c r="H89" s="278"/>
      <c r="I89" s="236"/>
      <c r="J89" s="859" t="s">
        <v>285</v>
      </c>
      <c r="K89" s="859"/>
      <c r="L89" s="859"/>
      <c r="M89" s="859"/>
      <c r="N89" s="859"/>
      <c r="O89" s="859"/>
      <c r="P89" s="859"/>
    </row>
    <row r="90" spans="2:20" s="64" customFormat="1" ht="22.5" customHeight="1">
      <c r="B90" s="272" t="s">
        <v>485</v>
      </c>
      <c r="C90" s="238"/>
      <c r="D90" s="237" t="s">
        <v>282</v>
      </c>
      <c r="E90" s="858" t="s">
        <v>283</v>
      </c>
      <c r="F90" s="858"/>
      <c r="G90" s="858"/>
      <c r="H90" s="271"/>
      <c r="I90" s="233"/>
      <c r="J90" s="860" t="s">
        <v>485</v>
      </c>
      <c r="K90" s="860"/>
      <c r="L90" s="860"/>
      <c r="M90" s="237"/>
      <c r="N90" s="236" t="s">
        <v>282</v>
      </c>
      <c r="O90" s="236"/>
      <c r="P90" s="236" t="s">
        <v>286</v>
      </c>
    </row>
    <row r="91" spans="2:20" ht="22.5" customHeight="1">
      <c r="B91" s="683"/>
      <c r="C91" s="674"/>
      <c r="D91" s="667"/>
      <c r="E91" s="675"/>
      <c r="F91" s="668"/>
      <c r="G91" s="780"/>
      <c r="H91" s="781"/>
      <c r="I91" s="778"/>
      <c r="J91" s="850"/>
      <c r="K91" s="850"/>
      <c r="L91" s="850"/>
      <c r="M91" s="663"/>
      <c r="N91" s="667"/>
      <c r="O91" s="663"/>
      <c r="P91" s="229"/>
    </row>
    <row r="92" spans="2:20" ht="27.75" customHeight="1">
      <c r="B92" s="684"/>
      <c r="C92" s="676"/>
      <c r="D92" s="677"/>
      <c r="E92" s="675"/>
      <c r="F92" s="229"/>
      <c r="G92" s="780"/>
      <c r="H92" s="781"/>
      <c r="I92" s="778"/>
      <c r="J92" s="850"/>
      <c r="K92" s="850"/>
      <c r="L92" s="850"/>
      <c r="M92" s="669"/>
      <c r="N92" s="670"/>
      <c r="O92" s="669"/>
      <c r="P92" s="668"/>
    </row>
    <row r="93" spans="2:20" ht="27.75" customHeight="1">
      <c r="B93" s="684"/>
      <c r="C93" s="678"/>
      <c r="D93" s="667"/>
      <c r="E93" s="678"/>
      <c r="F93" s="229"/>
      <c r="G93" s="664"/>
      <c r="H93" s="664"/>
      <c r="I93" s="665"/>
      <c r="J93" s="851"/>
      <c r="K93" s="852"/>
      <c r="L93" s="853"/>
      <c r="M93" s="669"/>
      <c r="N93" s="670"/>
      <c r="O93" s="669"/>
      <c r="P93" s="668"/>
    </row>
    <row r="94" spans="2:20" ht="27.75" customHeight="1">
      <c r="B94" s="684"/>
      <c r="C94" s="678"/>
      <c r="D94" s="667"/>
      <c r="E94" s="678"/>
      <c r="F94" s="679"/>
      <c r="G94" s="664"/>
      <c r="H94" s="664"/>
      <c r="I94" s="665"/>
      <c r="J94" s="850"/>
      <c r="K94" s="850"/>
      <c r="L94" s="850"/>
      <c r="M94" s="669"/>
      <c r="N94" s="670"/>
      <c r="O94" s="669"/>
      <c r="P94" s="667"/>
    </row>
    <row r="95" spans="2:20" ht="27.75" customHeight="1">
      <c r="B95" s="684"/>
      <c r="C95" s="680"/>
      <c r="D95" s="667"/>
      <c r="E95" s="681"/>
      <c r="F95" s="682"/>
      <c r="G95" s="665"/>
      <c r="H95" s="415"/>
      <c r="I95" s="666"/>
      <c r="J95" s="865"/>
      <c r="K95" s="865"/>
      <c r="L95" s="865"/>
      <c r="M95" s="671"/>
      <c r="N95" s="670"/>
      <c r="O95" s="672"/>
      <c r="P95" s="673"/>
    </row>
    <row r="96" spans="2:20" ht="9" customHeight="1">
      <c r="B96" s="686"/>
      <c r="C96" s="680"/>
      <c r="D96" s="687"/>
      <c r="E96" s="681"/>
      <c r="F96" s="688"/>
      <c r="G96" s="78"/>
      <c r="H96" s="225"/>
      <c r="I96" s="89"/>
      <c r="J96" s="689"/>
      <c r="K96" s="689"/>
      <c r="L96" s="689"/>
      <c r="M96" s="671"/>
      <c r="N96" s="690"/>
      <c r="O96" s="672"/>
      <c r="P96" s="691"/>
    </row>
    <row r="97" spans="2:38" ht="18.75" customHeight="1">
      <c r="D97" s="685" t="s">
        <v>589</v>
      </c>
      <c r="F97" s="692" t="e">
        <f>(SUM(F91:F95)+SUM(P91:P95))/(H25+H27)</f>
        <v>#DIV/0!</v>
      </c>
      <c r="J97" s="693" t="s">
        <v>292</v>
      </c>
      <c r="K97" s="73"/>
      <c r="L97" s="75"/>
    </row>
    <row r="98" spans="2:38" ht="21" customHeight="1">
      <c r="J98" s="246"/>
      <c r="K98" s="73"/>
      <c r="L98" s="75"/>
    </row>
    <row r="99" spans="2:38">
      <c r="J99" s="246"/>
      <c r="K99" s="73"/>
      <c r="L99" s="75"/>
    </row>
    <row r="100" spans="2:38" ht="28.5" customHeight="1">
      <c r="J100" s="246"/>
      <c r="K100" s="73"/>
      <c r="L100" s="75"/>
    </row>
    <row r="101" spans="2:38" ht="18.75" customHeight="1">
      <c r="B101" s="857" t="s">
        <v>287</v>
      </c>
      <c r="C101" s="857"/>
      <c r="D101" s="857"/>
      <c r="E101" s="857"/>
      <c r="F101" s="857"/>
      <c r="G101" s="857"/>
      <c r="H101" s="857"/>
      <c r="I101" s="236"/>
      <c r="L101" s="859" t="s">
        <v>288</v>
      </c>
      <c r="M101" s="859"/>
      <c r="N101" s="859"/>
      <c r="O101" s="859"/>
      <c r="P101" s="859"/>
      <c r="Q101" s="859"/>
      <c r="R101" s="859"/>
    </row>
    <row r="102" spans="2:38" s="64" customFormat="1" ht="24.75" customHeight="1">
      <c r="B102" s="247" t="s">
        <v>290</v>
      </c>
      <c r="C102" s="238"/>
      <c r="D102" s="237" t="s">
        <v>159</v>
      </c>
      <c r="E102" s="858" t="s">
        <v>0</v>
      </c>
      <c r="F102" s="858"/>
      <c r="G102" s="858"/>
      <c r="H102" s="237" t="s">
        <v>289</v>
      </c>
      <c r="I102" s="233"/>
      <c r="L102" s="248" t="s">
        <v>290</v>
      </c>
      <c r="M102" s="248"/>
      <c r="N102" s="248"/>
      <c r="O102" s="237"/>
      <c r="P102" s="236" t="s">
        <v>159</v>
      </c>
      <c r="Q102" s="236"/>
      <c r="R102" s="236" t="s">
        <v>0</v>
      </c>
      <c r="S102" s="88"/>
      <c r="T102" s="237" t="s">
        <v>278</v>
      </c>
      <c r="U102" s="62"/>
      <c r="V102" s="62"/>
      <c r="W102" s="62"/>
      <c r="X102" s="62"/>
      <c r="Y102" s="62"/>
      <c r="AA102" s="62"/>
      <c r="AB102" s="62"/>
      <c r="AC102" s="62"/>
      <c r="AD102" s="62"/>
      <c r="AE102" s="62"/>
      <c r="AF102" s="62"/>
      <c r="AI102" s="62"/>
      <c r="AJ102" s="62"/>
      <c r="AK102" s="62"/>
      <c r="AL102" s="62"/>
    </row>
    <row r="103" spans="2:38" ht="24" customHeight="1">
      <c r="B103" s="700"/>
      <c r="C103" s="779"/>
      <c r="D103" s="667"/>
      <c r="E103" s="780"/>
      <c r="F103" s="667"/>
      <c r="G103" s="780"/>
      <c r="H103" s="229"/>
      <c r="I103" s="233"/>
      <c r="L103" s="866"/>
      <c r="M103" s="867"/>
      <c r="N103" s="868"/>
      <c r="O103" s="663"/>
      <c r="P103" s="667"/>
      <c r="Q103" s="663"/>
      <c r="R103" s="698"/>
      <c r="S103" s="696"/>
      <c r="T103" s="229"/>
    </row>
    <row r="104" spans="2:38" ht="24" customHeight="1">
      <c r="B104" s="701"/>
      <c r="C104" s="778"/>
      <c r="D104" s="667"/>
      <c r="E104" s="780"/>
      <c r="F104" s="667"/>
      <c r="G104" s="780"/>
      <c r="H104" s="229"/>
      <c r="I104" s="233"/>
      <c r="L104" s="866"/>
      <c r="M104" s="867"/>
      <c r="N104" s="868"/>
      <c r="O104" s="669"/>
      <c r="P104" s="667"/>
      <c r="Q104" s="669"/>
      <c r="R104" s="698"/>
      <c r="S104" s="696"/>
      <c r="T104" s="229"/>
    </row>
    <row r="105" spans="2:38" ht="24" customHeight="1">
      <c r="B105" s="701"/>
      <c r="C105" s="828"/>
      <c r="D105" s="667"/>
      <c r="E105" s="781"/>
      <c r="F105" s="667"/>
      <c r="G105" s="781"/>
      <c r="H105" s="229"/>
      <c r="I105" s="235"/>
      <c r="L105" s="866"/>
      <c r="M105" s="867"/>
      <c r="N105" s="868"/>
      <c r="O105" s="669"/>
      <c r="P105" s="667"/>
      <c r="Q105" s="669"/>
      <c r="R105" s="698"/>
      <c r="S105" s="696"/>
      <c r="T105" s="699"/>
    </row>
    <row r="106" spans="2:38" ht="24" customHeight="1">
      <c r="B106" s="701"/>
      <c r="C106" s="828"/>
      <c r="D106" s="667"/>
      <c r="E106" s="781"/>
      <c r="F106" s="667"/>
      <c r="G106" s="781"/>
      <c r="H106" s="229"/>
      <c r="I106" s="235"/>
      <c r="L106" s="866"/>
      <c r="M106" s="867"/>
      <c r="N106" s="868"/>
      <c r="O106" s="669"/>
      <c r="P106" s="667"/>
      <c r="Q106" s="669"/>
      <c r="R106" s="698"/>
      <c r="S106" s="696"/>
      <c r="T106" s="699"/>
    </row>
    <row r="107" spans="2:38" ht="24" customHeight="1">
      <c r="B107" s="701"/>
      <c r="C107" s="829"/>
      <c r="D107" s="667"/>
      <c r="E107" s="662"/>
      <c r="F107" s="667"/>
      <c r="G107" s="662"/>
      <c r="H107" s="229"/>
      <c r="I107" s="235"/>
      <c r="L107" s="861"/>
      <c r="M107" s="862"/>
      <c r="N107" s="863"/>
      <c r="O107" s="669"/>
      <c r="P107" s="667"/>
      <c r="Q107" s="669"/>
      <c r="R107" s="698"/>
      <c r="S107" s="696"/>
      <c r="T107" s="699"/>
    </row>
    <row r="108" spans="2:38" ht="24" customHeight="1">
      <c r="B108" s="701"/>
      <c r="C108" s="829"/>
      <c r="D108" s="667"/>
      <c r="E108" s="662"/>
      <c r="F108" s="667"/>
      <c r="G108" s="662"/>
      <c r="H108" s="229"/>
      <c r="I108" s="235"/>
      <c r="L108" s="861"/>
      <c r="M108" s="862"/>
      <c r="N108" s="863"/>
      <c r="O108" s="669"/>
      <c r="P108" s="667"/>
      <c r="Q108" s="669"/>
      <c r="R108" s="698"/>
      <c r="S108" s="696"/>
      <c r="T108" s="699"/>
    </row>
    <row r="109" spans="2:38" ht="24" customHeight="1">
      <c r="B109" s="701"/>
      <c r="C109" s="828"/>
      <c r="D109" s="667"/>
      <c r="E109" s="781"/>
      <c r="F109" s="667"/>
      <c r="G109" s="781"/>
      <c r="H109" s="229"/>
      <c r="I109" s="235"/>
      <c r="L109" s="864"/>
      <c r="M109" s="864"/>
      <c r="N109" s="864"/>
      <c r="O109" s="669"/>
      <c r="P109" s="667"/>
      <c r="Q109" s="669"/>
      <c r="R109" s="698"/>
      <c r="S109" s="696"/>
      <c r="T109" s="699"/>
    </row>
    <row r="110" spans="2:38" ht="11.25" customHeight="1">
      <c r="B110" s="704"/>
      <c r="C110" s="703"/>
      <c r="D110" s="687"/>
      <c r="E110" s="83"/>
      <c r="F110" s="687"/>
      <c r="G110" s="83"/>
      <c r="H110" s="347"/>
      <c r="I110" s="89"/>
      <c r="L110" s="705"/>
      <c r="M110" s="705"/>
      <c r="N110" s="705"/>
      <c r="O110" s="671"/>
      <c r="P110" s="706"/>
      <c r="Q110" s="672"/>
      <c r="R110" s="707"/>
      <c r="S110" s="696"/>
      <c r="T110" s="708"/>
    </row>
    <row r="111" spans="2:38" ht="14.25" customHeight="1">
      <c r="B111" s="81"/>
      <c r="C111" s="81"/>
      <c r="D111" s="81"/>
      <c r="E111" s="81"/>
      <c r="F111" s="81"/>
      <c r="G111" s="81"/>
      <c r="H111" s="81"/>
      <c r="I111" s="81"/>
      <c r="J111" s="81"/>
      <c r="K111" s="81"/>
      <c r="L111" s="82"/>
      <c r="M111" s="64"/>
      <c r="N111"/>
      <c r="O111"/>
      <c r="P111"/>
      <c r="Q111"/>
      <c r="R111"/>
      <c r="S111" s="74"/>
    </row>
    <row r="112" spans="2:38">
      <c r="M112" s="75"/>
      <c r="N112"/>
      <c r="O112"/>
      <c r="P112"/>
      <c r="Q112"/>
      <c r="R112"/>
      <c r="S112" s="74"/>
      <c r="U112" s="75"/>
      <c r="V112" s="75"/>
    </row>
    <row r="113" spans="13:20">
      <c r="M113"/>
      <c r="N113" s="75"/>
      <c r="O113" s="75"/>
      <c r="P113" s="75"/>
      <c r="Q113" s="75"/>
      <c r="R113" s="75"/>
      <c r="S113" s="75"/>
      <c r="T113" s="75"/>
    </row>
    <row r="114" spans="13:20">
      <c r="M114"/>
      <c r="N114"/>
      <c r="O114"/>
      <c r="P114"/>
      <c r="Q114"/>
      <c r="R114"/>
      <c r="S114" s="74"/>
    </row>
    <row r="115" spans="13:20">
      <c r="M115"/>
      <c r="N115"/>
      <c r="O115"/>
      <c r="P115"/>
      <c r="Q115"/>
      <c r="R115"/>
      <c r="S115" s="74"/>
    </row>
    <row r="116" spans="13:20">
      <c r="M116"/>
      <c r="N116"/>
      <c r="O116"/>
      <c r="P116"/>
      <c r="Q116"/>
      <c r="R116"/>
      <c r="S116" s="74"/>
    </row>
    <row r="117" spans="13:20">
      <c r="M117"/>
      <c r="N117"/>
      <c r="O117"/>
      <c r="P117"/>
      <c r="Q117"/>
      <c r="R117"/>
      <c r="S117" s="74"/>
    </row>
    <row r="118" spans="13:20">
      <c r="M118"/>
      <c r="N118"/>
      <c r="O118"/>
      <c r="P118"/>
      <c r="Q118"/>
      <c r="R118"/>
      <c r="S118" s="74"/>
    </row>
    <row r="119" spans="13:20">
      <c r="N119"/>
      <c r="O119"/>
      <c r="P119"/>
      <c r="Q119"/>
      <c r="R119"/>
      <c r="S119" s="74"/>
    </row>
  </sheetData>
  <mergeCells count="23">
    <mergeCell ref="L108:N108"/>
    <mergeCell ref="L109:N109"/>
    <mergeCell ref="J94:L94"/>
    <mergeCell ref="J95:L95"/>
    <mergeCell ref="E102:G102"/>
    <mergeCell ref="L101:R101"/>
    <mergeCell ref="B101:H101"/>
    <mergeCell ref="L103:N103"/>
    <mergeCell ref="L104:N104"/>
    <mergeCell ref="L105:N105"/>
    <mergeCell ref="L106:N106"/>
    <mergeCell ref="L107:N107"/>
    <mergeCell ref="D53:H53"/>
    <mergeCell ref="J53:N53"/>
    <mergeCell ref="B89:F89"/>
    <mergeCell ref="E90:G90"/>
    <mergeCell ref="J89:P89"/>
    <mergeCell ref="J90:L90"/>
    <mergeCell ref="J91:L91"/>
    <mergeCell ref="J92:L92"/>
    <mergeCell ref="J93:L93"/>
    <mergeCell ref="D63:H63"/>
    <mergeCell ref="J63:N63"/>
  </mergeCells>
  <phoneticPr fontId="116" type="noConversion"/>
  <pageMargins left="0.7" right="0.7" top="0.75" bottom="0.75" header="0.3" footer="0.3"/>
  <headerFooter>
    <oddFooter>&amp;L&amp;A&amp;C&amp;D&amp;R&amp;P of &amp;N</oddFooter>
  </headerFooter>
  <rowBreaks count="3" manualBreakCount="3">
    <brk id="30" min="1" max="19" man="1"/>
    <brk id="64" min="1" max="19" man="1"/>
    <brk id="84" min="1" max="19" man="1"/>
  </rowBreaks>
  <ignoredErrors>
    <ignoredError sqref="P94:P95" unlockedFormula="1"/>
  </ignoredErrors>
  <drawing r:id="rId1"/>
  <legacyDrawing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AN69"/>
  <sheetViews>
    <sheetView showGridLines="0" showRowColHeaders="0" workbookViewId="0">
      <selection activeCell="D13" sqref="D13"/>
    </sheetView>
  </sheetViews>
  <sheetFormatPr baseColWidth="10" defaultColWidth="8.83203125" defaultRowHeight="14"/>
  <cols>
    <col min="1" max="1" width="5" style="709" customWidth="1"/>
    <col min="2" max="2" width="29.6640625" style="709" customWidth="1"/>
    <col min="3" max="3" width="2.1640625" style="709" customWidth="1"/>
    <col min="4" max="4" width="13" style="710" customWidth="1"/>
    <col min="5" max="5" width="2" style="710" customWidth="1"/>
    <col min="6" max="6" width="12.5" style="710" customWidth="1"/>
    <col min="7" max="7" width="2.33203125" style="710" customWidth="1"/>
    <col min="8" max="8" width="12.5" style="710" customWidth="1"/>
    <col min="9" max="9" width="1.6640625" style="710" customWidth="1"/>
    <col min="10" max="10" width="12.6640625" style="709" customWidth="1"/>
    <col min="11" max="11" width="1.6640625" style="709" customWidth="1"/>
    <col min="12" max="12" width="12.83203125" style="709" customWidth="1"/>
    <col min="13" max="13" width="1.6640625" style="710" customWidth="1"/>
    <col min="14" max="14" width="13.5" style="710" customWidth="1"/>
    <col min="15" max="15" width="1.5" style="710" customWidth="1"/>
    <col min="16" max="16" width="12.5" style="710" customWidth="1"/>
    <col min="17" max="17" width="1.83203125" style="710" customWidth="1"/>
    <col min="18" max="18" width="11.83203125" style="710" customWidth="1"/>
    <col min="19" max="19" width="1.5" style="665" customWidth="1"/>
    <col min="20" max="20" width="13.6640625" style="711" customWidth="1"/>
    <col min="21" max="25" width="8.83203125" style="711"/>
    <col min="26" max="26" width="3.5" style="709" customWidth="1"/>
    <col min="27" max="32" width="8.83203125" style="711"/>
    <col min="33" max="33" width="3.33203125" style="709" customWidth="1"/>
    <col min="34" max="34" width="9.33203125" style="709" customWidth="1"/>
    <col min="35" max="38" width="8.83203125" style="711"/>
    <col min="39" max="16384" width="8.83203125" style="709"/>
  </cols>
  <sheetData>
    <row r="1" spans="2:40" ht="57.75" customHeight="1"/>
    <row r="2" spans="2:40" ht="49.5" customHeight="1">
      <c r="B2" s="712" t="str">
        <f>IF('About My Ranch'!D7="X","The required data for the Replacements Enterprise will be entered in this tab.","You did not indicate in the 'About My Ranch' Tab that you have a Replacement Heifer Enterprise.")</f>
        <v>You did not indicate in the 'About My Ranch' Tab that you have a Replacement Heifer Enterprise.</v>
      </c>
      <c r="C2" s="712"/>
    </row>
    <row r="3" spans="2:40" ht="26.25" customHeight="1">
      <c r="D3" s="713" t="s">
        <v>293</v>
      </c>
      <c r="E3" s="713"/>
      <c r="F3" s="331">
        <f>'About My Ranch'!F19-1</f>
        <v>-1</v>
      </c>
      <c r="G3" s="205"/>
      <c r="H3" s="714"/>
      <c r="I3" s="715"/>
    </row>
    <row r="4" spans="2:40" ht="33.75" customHeight="1">
      <c r="D4" s="713"/>
      <c r="E4" s="713"/>
      <c r="F4" s="205"/>
      <c r="G4" s="205"/>
      <c r="H4" s="714"/>
      <c r="I4" s="715"/>
    </row>
    <row r="5" spans="2:40" ht="33.75" customHeight="1">
      <c r="D5" s="713"/>
      <c r="E5" s="713"/>
      <c r="F5" s="205"/>
      <c r="G5" s="205"/>
      <c r="H5" s="714"/>
      <c r="I5" s="715"/>
    </row>
    <row r="6" spans="2:40" ht="33.75" customHeight="1">
      <c r="D6" s="713"/>
      <c r="E6" s="713"/>
      <c r="F6" s="205"/>
      <c r="G6" s="205"/>
      <c r="H6" s="714"/>
      <c r="I6" s="715"/>
    </row>
    <row r="7" spans="2:40" ht="33.75" customHeight="1">
      <c r="D7" s="713"/>
      <c r="E7" s="713"/>
      <c r="F7" s="205"/>
      <c r="G7" s="205"/>
      <c r="H7" s="714"/>
      <c r="I7" s="715"/>
    </row>
    <row r="8" spans="2:40" ht="33.75" customHeight="1">
      <c r="D8" s="713"/>
      <c r="E8" s="713"/>
      <c r="F8" s="205"/>
      <c r="G8" s="205"/>
      <c r="H8" s="714"/>
      <c r="I8" s="715"/>
    </row>
    <row r="9" spans="2:40" ht="33.75" customHeight="1">
      <c r="D9" s="713"/>
      <c r="E9" s="713"/>
      <c r="F9" s="205"/>
      <c r="G9" s="205"/>
      <c r="H9" s="714"/>
      <c r="I9" s="715"/>
    </row>
    <row r="10" spans="2:40" ht="33" customHeight="1">
      <c r="D10" s="713"/>
      <c r="E10" s="713"/>
      <c r="F10" s="205"/>
      <c r="G10" s="205"/>
      <c r="H10" s="714"/>
      <c r="I10" s="715"/>
    </row>
    <row r="11" spans="2:40" ht="11.25" customHeight="1">
      <c r="D11" s="713"/>
      <c r="E11" s="713"/>
      <c r="F11" s="205"/>
      <c r="G11" s="205"/>
      <c r="H11" s="714"/>
      <c r="I11" s="715"/>
    </row>
    <row r="12" spans="2:40" ht="39" customHeight="1">
      <c r="B12" s="716"/>
      <c r="C12" s="716"/>
      <c r="D12" s="717" t="s">
        <v>303</v>
      </c>
      <c r="E12" s="718"/>
      <c r="F12" s="299" t="s">
        <v>408</v>
      </c>
      <c r="G12" s="299"/>
      <c r="H12" s="300" t="s">
        <v>50</v>
      </c>
      <c r="I12" s="299"/>
      <c r="J12" s="719" t="s">
        <v>294</v>
      </c>
      <c r="K12" s="720"/>
      <c r="L12" s="721" t="s">
        <v>295</v>
      </c>
      <c r="N12" s="722" t="s">
        <v>302</v>
      </c>
      <c r="P12" s="722" t="s">
        <v>52</v>
      </c>
      <c r="Q12" s="723"/>
      <c r="R12" s="723"/>
      <c r="S12" s="710"/>
      <c r="T12" s="724" t="s">
        <v>46</v>
      </c>
      <c r="U12" s="665"/>
      <c r="V12" s="725"/>
      <c r="W12" s="725"/>
      <c r="X12" s="725"/>
      <c r="Y12" s="725"/>
      <c r="Z12" s="725"/>
      <c r="AA12" s="725"/>
      <c r="AB12" s="709"/>
      <c r="AC12" s="725"/>
      <c r="AD12" s="725"/>
      <c r="AE12" s="725"/>
      <c r="AF12" s="725"/>
      <c r="AG12" s="725"/>
      <c r="AH12" s="725"/>
      <c r="AI12" s="709"/>
      <c r="AJ12" s="709"/>
      <c r="AK12" s="725"/>
      <c r="AL12" s="725"/>
      <c r="AM12" s="725"/>
      <c r="AN12" s="725"/>
    </row>
    <row r="13" spans="2:40" ht="18.75" customHeight="1">
      <c r="B13" s="726" t="s">
        <v>0</v>
      </c>
      <c r="C13" s="727"/>
      <c r="D13" s="311"/>
      <c r="E13" s="728"/>
      <c r="F13" s="609"/>
      <c r="G13" s="308"/>
      <c r="H13" s="609"/>
      <c r="I13" s="310"/>
      <c r="J13" s="609"/>
      <c r="K13" s="729"/>
      <c r="L13" s="609"/>
      <c r="M13" s="730"/>
      <c r="N13" s="609"/>
      <c r="O13" s="730"/>
      <c r="P13" s="731">
        <f>'1. Cow-Calf_InputForm'!J60</f>
        <v>0</v>
      </c>
      <c r="S13" s="710"/>
      <c r="T13" s="732" t="str">
        <f>IF(D13+F13-H13-J13-L13-N13&lt;&gt;0,"An error exists in inventory numbers, please fix.","Numbers reconcile, please proceed.")</f>
        <v>Numbers reconcile, please proceed.</v>
      </c>
      <c r="U13" s="665"/>
      <c r="Z13" s="711"/>
      <c r="AB13" s="709"/>
      <c r="AG13" s="711"/>
      <c r="AH13" s="711"/>
      <c r="AI13" s="709"/>
      <c r="AJ13" s="709"/>
      <c r="AM13" s="711"/>
      <c r="AN13" s="711"/>
    </row>
    <row r="14" spans="2:40" ht="8.25" customHeight="1">
      <c r="B14" s="716"/>
      <c r="C14" s="733"/>
      <c r="D14" s="734"/>
      <c r="E14" s="734"/>
      <c r="F14" s="310"/>
      <c r="G14" s="308"/>
      <c r="H14" s="729"/>
      <c r="I14" s="729"/>
      <c r="J14" s="729"/>
      <c r="K14" s="729"/>
      <c r="L14" s="729"/>
      <c r="M14" s="730"/>
      <c r="N14" s="729"/>
      <c r="O14" s="730"/>
      <c r="P14" s="729"/>
      <c r="S14" s="710"/>
      <c r="T14" s="710"/>
      <c r="U14" s="665"/>
      <c r="Z14" s="711"/>
      <c r="AB14" s="709"/>
      <c r="AG14" s="711"/>
      <c r="AH14" s="711"/>
      <c r="AI14" s="709"/>
      <c r="AJ14" s="709"/>
      <c r="AM14" s="711"/>
      <c r="AN14" s="711"/>
    </row>
    <row r="15" spans="2:40" ht="22.5" customHeight="1">
      <c r="B15" s="726" t="s">
        <v>296</v>
      </c>
      <c r="C15" s="727"/>
      <c r="D15" s="311"/>
      <c r="E15" s="735"/>
      <c r="F15" s="736"/>
      <c r="G15" s="210"/>
      <c r="H15" s="737"/>
      <c r="I15" s="210"/>
      <c r="J15" s="736"/>
      <c r="K15" s="738"/>
      <c r="L15" s="736"/>
      <c r="M15" s="739"/>
      <c r="N15" s="609"/>
      <c r="S15" s="710"/>
      <c r="T15" s="710"/>
      <c r="U15" s="665"/>
      <c r="Z15" s="711"/>
      <c r="AB15" s="709"/>
      <c r="AG15" s="711"/>
      <c r="AH15" s="711"/>
      <c r="AI15" s="709"/>
      <c r="AJ15" s="709"/>
      <c r="AM15" s="711"/>
      <c r="AN15" s="711"/>
    </row>
    <row r="16" spans="2:40" ht="19.5" customHeight="1">
      <c r="B16" s="726"/>
      <c r="C16" s="727"/>
      <c r="D16" s="736"/>
      <c r="E16" s="735"/>
      <c r="F16" s="736"/>
      <c r="G16" s="210"/>
      <c r="H16" s="737"/>
      <c r="I16" s="210"/>
      <c r="J16" s="736"/>
      <c r="K16" s="738"/>
      <c r="L16" s="736"/>
      <c r="M16" s="739"/>
      <c r="N16" s="736"/>
      <c r="S16" s="710"/>
      <c r="T16" s="710"/>
      <c r="U16" s="665"/>
      <c r="Z16" s="711"/>
      <c r="AB16" s="709"/>
      <c r="AG16" s="711"/>
      <c r="AH16" s="711"/>
      <c r="AI16" s="709"/>
      <c r="AJ16" s="709"/>
      <c r="AM16" s="711"/>
      <c r="AN16" s="711"/>
    </row>
    <row r="17" spans="2:19" s="740" customFormat="1" ht="36.75" customHeight="1">
      <c r="D17" s="741"/>
      <c r="E17" s="741"/>
      <c r="F17" s="741"/>
      <c r="G17" s="741"/>
      <c r="H17" s="741"/>
      <c r="I17" s="741"/>
      <c r="J17" s="741"/>
      <c r="K17" s="741"/>
    </row>
    <row r="18" spans="2:19" s="740" customFormat="1" ht="19.5" customHeight="1">
      <c r="B18" s="742" t="s">
        <v>297</v>
      </c>
      <c r="D18" s="217"/>
      <c r="E18" s="743"/>
      <c r="F18" s="744" t="str">
        <f>"What date were the heifers weaned in "&amp;F3&amp;"?"</f>
        <v>What date were the heifers weaned in -1?</v>
      </c>
      <c r="G18" s="741"/>
      <c r="I18" s="741"/>
      <c r="J18" s="741"/>
      <c r="K18" s="741"/>
    </row>
    <row r="19" spans="2:19" s="740" customFormat="1" ht="6" customHeight="1">
      <c r="D19" s="743"/>
      <c r="E19" s="743"/>
      <c r="F19" s="741"/>
      <c r="G19" s="741"/>
      <c r="I19" s="741"/>
      <c r="J19" s="741"/>
      <c r="K19" s="741"/>
    </row>
    <row r="20" spans="2:19" s="740" customFormat="1" ht="19.5" customHeight="1">
      <c r="B20" s="742" t="s">
        <v>252</v>
      </c>
      <c r="D20" s="217"/>
      <c r="E20" s="743"/>
      <c r="F20" s="714" t="str">
        <f>"When did you turn out your replacement heifers to grass in Spring "&amp;'About My Ranch'!F19&amp;"?"</f>
        <v>When did you turn out your replacement heifers to grass in Spring ?</v>
      </c>
      <c r="G20" s="741"/>
      <c r="I20" s="741"/>
      <c r="J20" s="741"/>
      <c r="K20" s="741"/>
    </row>
    <row r="21" spans="2:19" s="740" customFormat="1" ht="19.5" customHeight="1">
      <c r="D21" s="741"/>
      <c r="E21" s="741"/>
      <c r="F21" s="741"/>
      <c r="G21" s="741"/>
      <c r="H21" s="741"/>
      <c r="I21" s="741"/>
      <c r="J21" s="741"/>
      <c r="K21" s="741"/>
    </row>
    <row r="22" spans="2:19" s="740" customFormat="1" ht="19.5" customHeight="1">
      <c r="B22" s="745"/>
      <c r="D22" s="746"/>
      <c r="E22" s="741"/>
      <c r="F22" s="746"/>
      <c r="G22" s="741"/>
      <c r="H22" s="741"/>
      <c r="I22" s="741"/>
      <c r="J22" s="741"/>
      <c r="K22" s="741"/>
    </row>
    <row r="23" spans="2:19" s="740" customFormat="1" ht="19.5" customHeight="1">
      <c r="D23" s="741"/>
      <c r="E23" s="741"/>
      <c r="F23" s="741"/>
      <c r="G23" s="741"/>
      <c r="H23" s="741"/>
      <c r="I23" s="741"/>
      <c r="J23" s="741"/>
      <c r="K23" s="741"/>
      <c r="M23" s="747"/>
      <c r="N23" s="748"/>
      <c r="O23" s="749"/>
      <c r="P23" s="750"/>
      <c r="R23" s="741"/>
      <c r="S23" s="662"/>
    </row>
    <row r="24" spans="2:19" s="740" customFormat="1" ht="19.5" customHeight="1">
      <c r="D24" s="741"/>
      <c r="E24" s="741"/>
      <c r="F24" s="741"/>
      <c r="G24" s="741"/>
      <c r="H24" s="741"/>
      <c r="I24" s="741"/>
      <c r="J24" s="741"/>
      <c r="K24" s="741"/>
      <c r="M24" s="747"/>
      <c r="N24" s="748"/>
      <c r="O24" s="749"/>
      <c r="P24" s="750"/>
      <c r="R24" s="741"/>
      <c r="S24" s="662"/>
    </row>
    <row r="25" spans="2:19" s="740" customFormat="1" ht="19.5" customHeight="1">
      <c r="D25" s="741"/>
      <c r="E25" s="741"/>
      <c r="F25" s="741"/>
      <c r="G25" s="741"/>
      <c r="H25" s="741"/>
      <c r="I25" s="741"/>
      <c r="J25" s="741"/>
      <c r="K25" s="741"/>
      <c r="M25" s="747"/>
      <c r="N25" s="748"/>
      <c r="O25" s="749"/>
      <c r="P25" s="750"/>
      <c r="R25" s="741"/>
      <c r="S25" s="662"/>
    </row>
    <row r="26" spans="2:19" s="740" customFormat="1" ht="30" customHeight="1">
      <c r="B26" s="751" t="s">
        <v>300</v>
      </c>
      <c r="D26" s="752" t="s">
        <v>0</v>
      </c>
      <c r="E26" s="741"/>
      <c r="F26" s="752" t="s">
        <v>280</v>
      </c>
      <c r="G26" s="741"/>
      <c r="H26" s="753" t="str">
        <f>IF(F28&gt;0,"Avg $/hd","")</f>
        <v/>
      </c>
      <c r="I26" s="741"/>
      <c r="J26" s="741"/>
      <c r="K26" s="741"/>
      <c r="M26" s="754"/>
      <c r="N26" s="748"/>
      <c r="O26" s="749"/>
      <c r="P26" s="755"/>
      <c r="R26" s="741"/>
      <c r="S26" s="662"/>
    </row>
    <row r="27" spans="2:19" s="740" customFormat="1" ht="6" customHeight="1">
      <c r="B27" s="415"/>
      <c r="D27" s="756"/>
      <c r="E27" s="741"/>
      <c r="F27" s="756"/>
      <c r="G27" s="741"/>
      <c r="H27" s="753"/>
      <c r="I27" s="741"/>
      <c r="J27" s="741"/>
      <c r="K27" s="741"/>
      <c r="M27" s="747"/>
      <c r="N27" s="748"/>
      <c r="O27" s="749"/>
      <c r="P27" s="750"/>
      <c r="R27" s="741"/>
      <c r="S27" s="662"/>
    </row>
    <row r="28" spans="2:19" s="740" customFormat="1" ht="19.5" customHeight="1">
      <c r="B28" s="757" t="s">
        <v>298</v>
      </c>
      <c r="D28" s="320">
        <f>F13</f>
        <v>0</v>
      </c>
      <c r="E28" s="741"/>
      <c r="F28" s="227"/>
      <c r="G28" s="741"/>
      <c r="H28" s="758" t="str">
        <f>IF(D28&gt;0,F28/D28,"")</f>
        <v/>
      </c>
      <c r="I28" s="741"/>
      <c r="J28" s="741"/>
      <c r="K28" s="741"/>
      <c r="M28" s="747"/>
      <c r="N28" s="748"/>
      <c r="O28" s="749"/>
      <c r="P28" s="750"/>
      <c r="R28" s="741"/>
      <c r="S28" s="662"/>
    </row>
    <row r="29" spans="2:19" s="740" customFormat="1" ht="19.5" customHeight="1">
      <c r="D29" s="741"/>
      <c r="E29" s="741"/>
      <c r="F29" s="741"/>
      <c r="G29" s="741"/>
      <c r="H29" s="741"/>
      <c r="I29" s="741"/>
      <c r="J29" s="741"/>
      <c r="K29" s="741"/>
      <c r="M29" s="747"/>
      <c r="N29" s="748"/>
      <c r="O29" s="749"/>
      <c r="P29" s="750"/>
      <c r="R29" s="741"/>
      <c r="S29" s="662"/>
    </row>
    <row r="30" spans="2:19" s="740" customFormat="1" ht="33.75" customHeight="1">
      <c r="B30" s="751" t="s">
        <v>276</v>
      </c>
      <c r="D30" s="752" t="s">
        <v>0</v>
      </c>
      <c r="E30" s="741"/>
      <c r="F30" s="752" t="s">
        <v>269</v>
      </c>
      <c r="G30" s="741"/>
      <c r="H30" s="752" t="s">
        <v>275</v>
      </c>
      <c r="I30" s="741"/>
      <c r="J30" s="753" t="s">
        <v>301</v>
      </c>
      <c r="K30" s="741"/>
      <c r="M30" s="754"/>
      <c r="N30" s="748"/>
      <c r="O30" s="749"/>
      <c r="P30" s="755"/>
      <c r="R30" s="741"/>
      <c r="S30" s="662"/>
    </row>
    <row r="31" spans="2:19" s="740" customFormat="1" ht="6" customHeight="1">
      <c r="B31" s="759"/>
      <c r="D31" s="756"/>
      <c r="E31" s="741"/>
      <c r="F31" s="756"/>
      <c r="G31" s="741"/>
      <c r="H31" s="752"/>
      <c r="I31" s="741"/>
      <c r="J31" s="753"/>
      <c r="K31" s="741"/>
      <c r="M31" s="747"/>
      <c r="N31" s="748"/>
      <c r="O31" s="749"/>
      <c r="P31" s="750"/>
      <c r="R31" s="741"/>
      <c r="S31" s="662"/>
    </row>
    <row r="32" spans="2:19" s="740" customFormat="1" ht="19.5" customHeight="1">
      <c r="B32" s="742" t="s">
        <v>298</v>
      </c>
      <c r="D32" s="320">
        <f>J13</f>
        <v>0</v>
      </c>
      <c r="E32" s="760"/>
      <c r="F32" s="226"/>
      <c r="G32" s="760"/>
      <c r="H32" s="229"/>
      <c r="I32" s="741"/>
      <c r="J32" s="758" t="str">
        <f>IF(D32&gt;0,H32/D32,"")</f>
        <v/>
      </c>
      <c r="K32" s="741"/>
      <c r="M32" s="747"/>
      <c r="N32" s="748"/>
      <c r="O32" s="749"/>
      <c r="P32" s="750"/>
      <c r="R32" s="741"/>
      <c r="S32" s="662"/>
    </row>
    <row r="33" spans="2:40" s="740" customFormat="1" ht="6.75" customHeight="1">
      <c r="D33" s="761"/>
      <c r="E33" s="760"/>
      <c r="F33" s="761"/>
      <c r="G33" s="760"/>
      <c r="H33" s="762"/>
      <c r="I33" s="741"/>
      <c r="J33" s="753"/>
      <c r="K33" s="741"/>
      <c r="M33" s="747"/>
      <c r="N33" s="748"/>
      <c r="O33" s="749"/>
      <c r="P33" s="750"/>
      <c r="R33" s="741"/>
      <c r="S33" s="662"/>
    </row>
    <row r="34" spans="2:40" s="740" customFormat="1" ht="19.5" customHeight="1">
      <c r="B34" s="742" t="s">
        <v>299</v>
      </c>
      <c r="D34" s="320">
        <f>L13</f>
        <v>0</v>
      </c>
      <c r="E34" s="760"/>
      <c r="F34" s="226"/>
      <c r="G34" s="760"/>
      <c r="H34" s="229"/>
      <c r="I34" s="741"/>
      <c r="J34" s="758" t="str">
        <f>IF(D34&gt;0,H34/D34,"")</f>
        <v/>
      </c>
      <c r="K34" s="741"/>
      <c r="M34" s="747"/>
      <c r="N34" s="748"/>
      <c r="O34" s="749"/>
      <c r="P34" s="750"/>
      <c r="R34" s="741"/>
      <c r="S34" s="662"/>
    </row>
    <row r="35" spans="2:40" s="740" customFormat="1" ht="12" customHeight="1">
      <c r="D35" s="761"/>
      <c r="E35" s="760"/>
      <c r="F35" s="761"/>
      <c r="G35" s="760"/>
      <c r="H35" s="762"/>
      <c r="I35" s="741"/>
      <c r="J35" s="741"/>
      <c r="K35" s="741"/>
      <c r="M35" s="747"/>
      <c r="N35" s="748"/>
      <c r="O35" s="749"/>
      <c r="P35" s="750"/>
      <c r="R35" s="741"/>
      <c r="S35" s="662"/>
    </row>
    <row r="36" spans="2:40" s="740" customFormat="1" ht="6.75" customHeight="1">
      <c r="B36" s="415"/>
      <c r="D36" s="741"/>
      <c r="E36" s="741"/>
      <c r="F36" s="741"/>
      <c r="G36" s="741"/>
      <c r="H36" s="662"/>
      <c r="I36" s="741"/>
      <c r="J36" s="741"/>
      <c r="K36" s="741"/>
      <c r="M36" s="747"/>
      <c r="N36" s="748"/>
      <c r="O36" s="749"/>
      <c r="P36" s="750"/>
      <c r="R36" s="741"/>
      <c r="S36" s="662"/>
    </row>
    <row r="37" spans="2:40" s="740" customFormat="1" ht="19.5" customHeight="1">
      <c r="D37" s="741"/>
      <c r="E37" s="741"/>
      <c r="F37" s="741"/>
      <c r="G37" s="741"/>
      <c r="H37" s="741"/>
      <c r="I37" s="741"/>
      <c r="J37" s="741"/>
      <c r="K37" s="741"/>
      <c r="M37" s="747"/>
      <c r="N37" s="748"/>
      <c r="O37" s="749"/>
      <c r="P37" s="750"/>
      <c r="R37" s="741"/>
      <c r="S37" s="662"/>
    </row>
    <row r="38" spans="2:40" s="740" customFormat="1" ht="19.5" customHeight="1">
      <c r="D38" s="741"/>
      <c r="E38" s="741"/>
      <c r="F38" s="741"/>
      <c r="G38" s="741"/>
      <c r="H38" s="741"/>
      <c r="I38" s="741"/>
      <c r="J38" s="741"/>
      <c r="K38" s="741"/>
      <c r="M38" s="747"/>
      <c r="N38" s="748"/>
      <c r="O38" s="749"/>
      <c r="P38" s="750"/>
      <c r="R38" s="741"/>
      <c r="S38" s="662"/>
    </row>
    <row r="39" spans="2:40" s="763" customFormat="1" ht="16.5" customHeight="1">
      <c r="B39" s="709"/>
      <c r="H39" s="709"/>
    </row>
    <row r="40" spans="2:40" s="763" customFormat="1" ht="39.75" customHeight="1">
      <c r="B40" s="764"/>
      <c r="C40" s="765"/>
      <c r="D40" s="766"/>
      <c r="E40" s="766"/>
      <c r="F40" s="766"/>
      <c r="G40" s="766"/>
      <c r="H40" s="767"/>
      <c r="I40" s="766"/>
      <c r="J40" s="766"/>
    </row>
    <row r="41" spans="2:40" s="763" customFormat="1" ht="17.25" customHeight="1">
      <c r="B41" s="709"/>
      <c r="D41" s="768"/>
      <c r="E41" s="768"/>
      <c r="F41" s="768"/>
      <c r="G41" s="768"/>
      <c r="H41" s="769"/>
      <c r="I41" s="768"/>
      <c r="J41" s="770"/>
      <c r="K41" s="771"/>
      <c r="L41" s="772"/>
    </row>
    <row r="42" spans="2:40" s="763" customFormat="1" ht="24" customHeight="1">
      <c r="B42" s="882" t="s">
        <v>284</v>
      </c>
      <c r="C42" s="882"/>
      <c r="D42" s="882"/>
      <c r="E42" s="882"/>
      <c r="F42" s="882"/>
      <c r="G42" s="773"/>
      <c r="H42" s="774"/>
      <c r="I42" s="775"/>
      <c r="J42" s="883" t="s">
        <v>285</v>
      </c>
      <c r="K42" s="883"/>
      <c r="L42" s="883"/>
      <c r="M42" s="883"/>
      <c r="N42" s="883"/>
      <c r="O42" s="883"/>
      <c r="P42" s="883"/>
    </row>
    <row r="43" spans="2:40" s="763" customFormat="1" ht="22.5" customHeight="1">
      <c r="B43" s="776" t="s">
        <v>485</v>
      </c>
      <c r="C43" s="777"/>
      <c r="D43" s="672" t="s">
        <v>282</v>
      </c>
      <c r="E43" s="869" t="s">
        <v>283</v>
      </c>
      <c r="F43" s="869"/>
      <c r="G43" s="869"/>
      <c r="H43" s="299"/>
      <c r="I43" s="778"/>
      <c r="J43" s="884" t="s">
        <v>485</v>
      </c>
      <c r="K43" s="884"/>
      <c r="L43" s="884"/>
      <c r="M43" s="672"/>
      <c r="N43" s="775" t="s">
        <v>282</v>
      </c>
      <c r="O43" s="775"/>
      <c r="P43" s="775" t="s">
        <v>286</v>
      </c>
    </row>
    <row r="44" spans="2:40" s="711" customFormat="1" ht="22.5" customHeight="1">
      <c r="B44" s="792"/>
      <c r="C44" s="779"/>
      <c r="D44" s="694"/>
      <c r="E44" s="780"/>
      <c r="F44" s="799"/>
      <c r="G44" s="780"/>
      <c r="H44" s="781"/>
      <c r="I44" s="778"/>
      <c r="J44" s="879"/>
      <c r="K44" s="879"/>
      <c r="L44" s="879"/>
      <c r="M44" s="663"/>
      <c r="N44" s="694"/>
      <c r="O44" s="663"/>
      <c r="P44" s="245"/>
      <c r="Q44" s="710"/>
      <c r="R44" s="710"/>
      <c r="S44" s="665"/>
      <c r="Z44" s="709"/>
      <c r="AG44" s="709"/>
      <c r="AH44" s="709"/>
      <c r="AM44" s="709"/>
      <c r="AN44" s="709"/>
    </row>
    <row r="45" spans="2:40" s="711" customFormat="1" ht="27.75" customHeight="1">
      <c r="B45" s="793"/>
      <c r="C45" s="778"/>
      <c r="D45" s="795"/>
      <c r="E45" s="780"/>
      <c r="F45" s="245"/>
      <c r="G45" s="780"/>
      <c r="H45" s="781"/>
      <c r="I45" s="778"/>
      <c r="J45" s="879"/>
      <c r="K45" s="879"/>
      <c r="L45" s="879"/>
      <c r="M45" s="664"/>
      <c r="N45" s="697"/>
      <c r="O45" s="664"/>
      <c r="P45" s="364"/>
      <c r="Q45" s="710"/>
      <c r="R45" s="710"/>
      <c r="S45" s="665"/>
      <c r="Z45" s="709"/>
      <c r="AG45" s="709"/>
      <c r="AH45" s="709"/>
      <c r="AM45" s="709"/>
      <c r="AN45" s="709"/>
    </row>
    <row r="46" spans="2:40" s="711" customFormat="1" ht="27.75" customHeight="1">
      <c r="B46" s="794"/>
      <c r="C46" s="782"/>
      <c r="D46" s="697"/>
      <c r="E46" s="664"/>
      <c r="F46" s="695"/>
      <c r="G46" s="664"/>
      <c r="H46" s="664"/>
      <c r="I46" s="665"/>
      <c r="J46" s="880"/>
      <c r="K46" s="880"/>
      <c r="L46" s="880"/>
      <c r="M46" s="664"/>
      <c r="N46" s="697"/>
      <c r="O46" s="664"/>
      <c r="P46" s="364"/>
      <c r="Q46" s="710"/>
      <c r="R46" s="710"/>
      <c r="S46" s="665"/>
      <c r="Z46" s="709"/>
      <c r="AG46" s="709"/>
      <c r="AH46" s="709"/>
      <c r="AM46" s="709"/>
      <c r="AN46" s="709"/>
    </row>
    <row r="47" spans="2:40" s="711" customFormat="1" ht="27.75" customHeight="1">
      <c r="B47" s="794"/>
      <c r="C47" s="782"/>
      <c r="D47" s="697"/>
      <c r="E47" s="664"/>
      <c r="F47" s="695"/>
      <c r="G47" s="664"/>
      <c r="H47" s="664"/>
      <c r="I47" s="665"/>
      <c r="J47" s="880"/>
      <c r="K47" s="880"/>
      <c r="L47" s="880"/>
      <c r="M47" s="664"/>
      <c r="N47" s="697"/>
      <c r="O47" s="664"/>
      <c r="P47" s="364"/>
      <c r="Q47" s="710"/>
      <c r="R47" s="710"/>
      <c r="S47" s="665"/>
      <c r="Z47" s="709"/>
      <c r="AG47" s="709"/>
      <c r="AH47" s="709"/>
      <c r="AM47" s="709"/>
      <c r="AN47" s="709"/>
    </row>
    <row r="48" spans="2:40" s="711" customFormat="1" ht="27.75" customHeight="1">
      <c r="B48" s="794"/>
      <c r="C48" s="783"/>
      <c r="D48" s="697"/>
      <c r="E48" s="665"/>
      <c r="F48" s="695"/>
      <c r="G48" s="665"/>
      <c r="H48" s="415"/>
      <c r="I48" s="666"/>
      <c r="J48" s="881"/>
      <c r="K48" s="881"/>
      <c r="L48" s="881"/>
      <c r="M48" s="665"/>
      <c r="N48" s="697"/>
      <c r="O48" s="666"/>
      <c r="P48" s="633"/>
      <c r="Q48" s="710"/>
      <c r="R48" s="710"/>
      <c r="S48" s="665"/>
      <c r="Z48" s="709"/>
      <c r="AG48" s="709"/>
      <c r="AH48" s="709"/>
      <c r="AM48" s="709"/>
      <c r="AN48" s="709"/>
    </row>
    <row r="49" spans="2:40" s="711" customFormat="1">
      <c r="B49" s="709"/>
      <c r="C49" s="709"/>
      <c r="D49" s="710"/>
      <c r="E49" s="710"/>
      <c r="F49" s="710"/>
      <c r="G49" s="710"/>
      <c r="H49" s="710"/>
      <c r="I49" s="710"/>
      <c r="J49" s="784" t="s">
        <v>292</v>
      </c>
      <c r="K49" s="710"/>
      <c r="L49" s="785"/>
      <c r="M49" s="710"/>
      <c r="N49" s="710"/>
      <c r="O49" s="710"/>
      <c r="P49" s="710"/>
      <c r="Q49" s="710"/>
      <c r="R49" s="710"/>
      <c r="S49" s="665"/>
      <c r="Z49" s="709"/>
      <c r="AG49" s="709"/>
      <c r="AH49" s="709"/>
      <c r="AM49" s="709"/>
      <c r="AN49" s="709"/>
    </row>
    <row r="50" spans="2:40" s="711" customFormat="1" ht="24.75" customHeight="1">
      <c r="B50" s="709"/>
      <c r="C50" s="709"/>
      <c r="D50" s="797" t="s">
        <v>590</v>
      </c>
      <c r="E50" s="710"/>
      <c r="F50" s="798" t="e">
        <f>(SUM(F44:F48)+SUM(P44:P48))/D13</f>
        <v>#DIV/0!</v>
      </c>
      <c r="G50" s="710"/>
      <c r="H50" s="710"/>
      <c r="I50" s="710"/>
      <c r="J50" s="784"/>
      <c r="K50" s="710"/>
      <c r="L50" s="785"/>
      <c r="M50" s="710"/>
      <c r="N50" s="710"/>
      <c r="O50" s="710"/>
      <c r="P50" s="710"/>
      <c r="Q50" s="710"/>
      <c r="R50" s="710"/>
      <c r="S50" s="665"/>
      <c r="Z50" s="709"/>
      <c r="AG50" s="709"/>
      <c r="AH50" s="709"/>
      <c r="AM50" s="709"/>
      <c r="AN50" s="709"/>
    </row>
    <row r="51" spans="2:40" s="711" customFormat="1" ht="38.25" customHeight="1">
      <c r="B51" s="709"/>
      <c r="C51" s="709"/>
      <c r="D51" s="710"/>
      <c r="E51" s="710"/>
      <c r="F51" s="710"/>
      <c r="G51" s="710"/>
      <c r="H51" s="710"/>
      <c r="I51" s="710"/>
      <c r="J51" s="784"/>
      <c r="K51" s="710"/>
      <c r="L51" s="785"/>
      <c r="M51" s="710"/>
      <c r="N51" s="710"/>
      <c r="O51" s="710"/>
      <c r="P51" s="710"/>
      <c r="Q51" s="710"/>
      <c r="R51" s="710"/>
      <c r="S51" s="665"/>
      <c r="Z51" s="709"/>
      <c r="AG51" s="709"/>
      <c r="AH51" s="709"/>
      <c r="AM51" s="709"/>
      <c r="AN51" s="709"/>
    </row>
    <row r="52" spans="2:40">
      <c r="J52" s="784"/>
      <c r="K52" s="710"/>
      <c r="L52" s="785"/>
    </row>
    <row r="53" spans="2:40" ht="28.5" customHeight="1">
      <c r="J53" s="784"/>
      <c r="K53" s="710"/>
      <c r="L53" s="785"/>
    </row>
    <row r="54" spans="2:40" ht="18.75" customHeight="1">
      <c r="B54" s="882" t="s">
        <v>287</v>
      </c>
      <c r="C54" s="882"/>
      <c r="D54" s="882"/>
      <c r="E54" s="882"/>
      <c r="F54" s="882"/>
      <c r="G54" s="882"/>
      <c r="H54" s="882"/>
      <c r="I54" s="775"/>
      <c r="L54" s="883" t="s">
        <v>288</v>
      </c>
      <c r="M54" s="883"/>
      <c r="N54" s="883"/>
      <c r="O54" s="883"/>
      <c r="P54" s="883"/>
      <c r="Q54" s="883"/>
      <c r="R54" s="883"/>
    </row>
    <row r="55" spans="2:40" s="763" customFormat="1" ht="24.75" customHeight="1">
      <c r="B55" s="786" t="s">
        <v>290</v>
      </c>
      <c r="C55" s="777"/>
      <c r="D55" s="672" t="s">
        <v>159</v>
      </c>
      <c r="E55" s="869" t="s">
        <v>0</v>
      </c>
      <c r="F55" s="869"/>
      <c r="G55" s="869"/>
      <c r="H55" s="672" t="s">
        <v>289</v>
      </c>
      <c r="I55" s="778"/>
      <c r="L55" s="787" t="s">
        <v>290</v>
      </c>
      <c r="M55" s="787"/>
      <c r="N55" s="787"/>
      <c r="O55" s="672"/>
      <c r="P55" s="775" t="s">
        <v>159</v>
      </c>
      <c r="Q55" s="775"/>
      <c r="R55" s="775" t="s">
        <v>0</v>
      </c>
      <c r="S55" s="788"/>
      <c r="T55" s="672" t="s">
        <v>278</v>
      </c>
      <c r="U55" s="789"/>
      <c r="V55" s="789"/>
      <c r="W55" s="789"/>
      <c r="X55" s="789"/>
      <c r="Y55" s="789"/>
      <c r="AA55" s="789"/>
      <c r="AB55" s="789"/>
      <c r="AC55" s="789"/>
      <c r="AD55" s="789"/>
      <c r="AE55" s="789"/>
      <c r="AF55" s="789"/>
      <c r="AI55" s="789"/>
      <c r="AJ55" s="789"/>
      <c r="AK55" s="789"/>
      <c r="AL55" s="789"/>
    </row>
    <row r="56" spans="2:40" ht="24" customHeight="1">
      <c r="B56" s="803"/>
      <c r="C56" s="779"/>
      <c r="D56" s="694"/>
      <c r="E56" s="663"/>
      <c r="F56" s="694"/>
      <c r="G56" s="663"/>
      <c r="H56" s="801"/>
      <c r="I56" s="778"/>
      <c r="L56" s="870"/>
      <c r="M56" s="871"/>
      <c r="N56" s="872"/>
      <c r="O56" s="663"/>
      <c r="P56" s="694"/>
      <c r="Q56" s="663"/>
      <c r="R56" s="245"/>
      <c r="S56" s="671"/>
      <c r="T56" s="245"/>
    </row>
    <row r="57" spans="2:40" ht="24" customHeight="1">
      <c r="B57" s="804"/>
      <c r="C57" s="778"/>
      <c r="D57" s="694"/>
      <c r="E57" s="663"/>
      <c r="F57" s="694"/>
      <c r="G57" s="663"/>
      <c r="H57" s="801"/>
      <c r="I57" s="778"/>
      <c r="L57" s="870"/>
      <c r="M57" s="871"/>
      <c r="N57" s="872"/>
      <c r="O57" s="669"/>
      <c r="P57" s="697"/>
      <c r="Q57" s="669"/>
      <c r="R57" s="697"/>
      <c r="S57" s="671"/>
      <c r="T57" s="245"/>
    </row>
    <row r="58" spans="2:40" ht="24" customHeight="1">
      <c r="B58" s="804"/>
      <c r="C58" s="782"/>
      <c r="D58" s="697"/>
      <c r="E58" s="669"/>
      <c r="F58" s="697"/>
      <c r="G58" s="669"/>
      <c r="H58" s="695"/>
      <c r="I58" s="665"/>
      <c r="L58" s="873"/>
      <c r="M58" s="874"/>
      <c r="N58" s="875"/>
      <c r="O58" s="669"/>
      <c r="P58" s="697"/>
      <c r="Q58" s="669"/>
      <c r="R58" s="697"/>
      <c r="S58" s="671"/>
      <c r="T58" s="695"/>
    </row>
    <row r="59" spans="2:40" ht="24" customHeight="1">
      <c r="B59" s="804"/>
      <c r="C59" s="782"/>
      <c r="D59" s="697"/>
      <c r="E59" s="669"/>
      <c r="F59" s="697"/>
      <c r="G59" s="669"/>
      <c r="H59" s="695"/>
      <c r="I59" s="665"/>
      <c r="L59" s="873"/>
      <c r="M59" s="874"/>
      <c r="N59" s="875"/>
      <c r="O59" s="669"/>
      <c r="P59" s="697"/>
      <c r="Q59" s="669"/>
      <c r="R59" s="697"/>
      <c r="S59" s="671"/>
      <c r="T59" s="695"/>
    </row>
    <row r="60" spans="2:40" ht="24" customHeight="1">
      <c r="B60" s="805"/>
      <c r="C60" s="783"/>
      <c r="D60" s="697"/>
      <c r="E60" s="671"/>
      <c r="F60" s="697"/>
      <c r="G60" s="671"/>
      <c r="H60" s="802"/>
      <c r="I60" s="666"/>
      <c r="L60" s="876"/>
      <c r="M60" s="877"/>
      <c r="N60" s="878"/>
      <c r="O60" s="671"/>
      <c r="P60" s="697"/>
      <c r="Q60" s="672"/>
      <c r="R60" s="806"/>
      <c r="S60" s="671"/>
      <c r="T60" s="800"/>
    </row>
    <row r="61" spans="2:40">
      <c r="B61" s="790"/>
      <c r="C61" s="790"/>
      <c r="D61" s="790"/>
      <c r="E61" s="790"/>
      <c r="F61" s="790"/>
      <c r="G61" s="790"/>
      <c r="H61" s="790"/>
      <c r="I61" s="790"/>
      <c r="J61" s="790"/>
      <c r="K61" s="790"/>
      <c r="L61" s="791"/>
      <c r="M61" s="763"/>
      <c r="N61" s="711"/>
      <c r="O61" s="711"/>
      <c r="P61" s="711"/>
      <c r="Q61" s="711"/>
      <c r="R61" s="711"/>
      <c r="S61" s="709"/>
    </row>
    <row r="62" spans="2:40">
      <c r="M62" s="785"/>
      <c r="N62" s="711"/>
      <c r="O62" s="711"/>
      <c r="P62" s="711"/>
      <c r="Q62" s="711"/>
      <c r="R62" s="711"/>
      <c r="S62" s="709"/>
      <c r="U62" s="785"/>
      <c r="V62" s="785"/>
    </row>
    <row r="63" spans="2:40">
      <c r="M63" s="711"/>
      <c r="N63" s="785"/>
      <c r="O63" s="785"/>
      <c r="P63" s="785"/>
      <c r="Q63" s="785"/>
      <c r="R63" s="785"/>
      <c r="S63" s="785"/>
      <c r="T63" s="785"/>
    </row>
    <row r="64" spans="2:40">
      <c r="M64" s="711"/>
      <c r="N64" s="711"/>
      <c r="O64" s="711"/>
      <c r="P64" s="711"/>
      <c r="Q64" s="711"/>
      <c r="R64" s="711"/>
      <c r="S64" s="709"/>
    </row>
    <row r="65" spans="2:40">
      <c r="M65" s="711"/>
      <c r="N65" s="711"/>
      <c r="O65" s="711"/>
      <c r="P65" s="711"/>
      <c r="Q65" s="711"/>
      <c r="R65" s="711"/>
      <c r="S65" s="709"/>
    </row>
    <row r="66" spans="2:40">
      <c r="M66" s="711"/>
      <c r="N66" s="711"/>
      <c r="O66" s="711"/>
      <c r="P66" s="711"/>
      <c r="Q66" s="711"/>
      <c r="R66" s="711"/>
      <c r="S66" s="709"/>
    </row>
    <row r="67" spans="2:40">
      <c r="M67" s="711"/>
      <c r="N67" s="711"/>
      <c r="O67" s="711"/>
      <c r="P67" s="711"/>
      <c r="Q67" s="711"/>
      <c r="R67" s="711"/>
      <c r="S67" s="709"/>
    </row>
    <row r="68" spans="2:40" s="711" customFormat="1">
      <c r="B68" s="709"/>
      <c r="C68" s="709"/>
      <c r="D68" s="710"/>
      <c r="E68" s="710"/>
      <c r="F68" s="710"/>
      <c r="G68" s="710"/>
      <c r="H68" s="710"/>
      <c r="I68" s="710"/>
      <c r="J68" s="709"/>
      <c r="K68" s="709"/>
      <c r="L68" s="709"/>
      <c r="S68" s="709"/>
      <c r="Z68" s="709"/>
      <c r="AG68" s="709"/>
      <c r="AH68" s="709"/>
      <c r="AM68" s="709"/>
      <c r="AN68" s="709"/>
    </row>
    <row r="69" spans="2:40" s="711" customFormat="1">
      <c r="B69" s="709"/>
      <c r="C69" s="709"/>
      <c r="D69" s="710"/>
      <c r="E69" s="710"/>
      <c r="F69" s="710"/>
      <c r="G69" s="710"/>
      <c r="H69" s="710"/>
      <c r="I69" s="710"/>
      <c r="J69" s="709"/>
      <c r="K69" s="709"/>
      <c r="L69" s="709"/>
      <c r="M69" s="710"/>
      <c r="S69" s="709"/>
      <c r="Z69" s="709"/>
      <c r="AG69" s="709"/>
      <c r="AH69" s="709"/>
      <c r="AM69" s="709"/>
      <c r="AN69" s="709"/>
    </row>
  </sheetData>
  <sheetProtection sheet="1" objects="1" scenarios="1"/>
  <mergeCells count="17">
    <mergeCell ref="B54:H54"/>
    <mergeCell ref="L54:R54"/>
    <mergeCell ref="B42:F42"/>
    <mergeCell ref="J42:P42"/>
    <mergeCell ref="E43:G43"/>
    <mergeCell ref="J43:L43"/>
    <mergeCell ref="L60:N60"/>
    <mergeCell ref="J44:L44"/>
    <mergeCell ref="J45:L45"/>
    <mergeCell ref="J46:L46"/>
    <mergeCell ref="J47:L47"/>
    <mergeCell ref="J48:L48"/>
    <mergeCell ref="E55:G55"/>
    <mergeCell ref="L56:N56"/>
    <mergeCell ref="L57:N57"/>
    <mergeCell ref="L58:N58"/>
    <mergeCell ref="L59:N59"/>
  </mergeCells>
  <phoneticPr fontId="116" type="noConversion"/>
  <pageMargins left="0.7" right="0.7" top="0.75" bottom="0.75" header="0.3" footer="0.3"/>
  <headerFooter>
    <oddFooter>&amp;L&amp;A&amp;C&amp;D&amp;R&amp;P of &amp;N</oddFooter>
  </headerFooter>
  <rowBreaks count="2" manualBreakCount="2">
    <brk id="21" min="1" max="20" man="1"/>
    <brk id="51" min="1" max="20" man="1"/>
  </rowBreaks>
  <ignoredErrors>
    <ignoredError sqref="D32 D34" unlockedFormula="1"/>
  </ignoredErrors>
  <drawing r:id="rId1"/>
  <legacy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B1:AN63"/>
  <sheetViews>
    <sheetView showGridLines="0" showRowColHeaders="0" workbookViewId="0">
      <selection activeCell="D13" sqref="D13"/>
    </sheetView>
  </sheetViews>
  <sheetFormatPr baseColWidth="10" defaultColWidth="8.83203125" defaultRowHeight="14"/>
  <cols>
    <col min="1" max="1" width="5" style="74" customWidth="1"/>
    <col min="2" max="2" width="29.6640625" style="74" customWidth="1"/>
    <col min="3" max="3" width="2.1640625" style="74" customWidth="1"/>
    <col min="4" max="4" width="13" style="73" customWidth="1"/>
    <col min="5" max="5" width="2" style="73" customWidth="1"/>
    <col min="6" max="6" width="12.5" style="73" customWidth="1"/>
    <col min="7" max="7" width="2.33203125" style="73" customWidth="1"/>
    <col min="8" max="8" width="12.5" style="73" customWidth="1"/>
    <col min="9" max="9" width="1.6640625" style="73" customWidth="1"/>
    <col min="10" max="10" width="12.6640625" style="74" customWidth="1"/>
    <col min="11" max="11" width="1.6640625" style="74" customWidth="1"/>
    <col min="12" max="12" width="12.83203125" style="74" customWidth="1"/>
    <col min="13" max="13" width="1.6640625" style="73" customWidth="1"/>
    <col min="14" max="14" width="13.5" style="73" customWidth="1"/>
    <col min="15" max="15" width="1.5" style="73" customWidth="1"/>
    <col min="16" max="16" width="12.5" style="73" customWidth="1"/>
    <col min="17" max="17" width="1.83203125" style="73" customWidth="1"/>
    <col min="18" max="18" width="11.83203125" style="73" customWidth="1"/>
    <col min="19" max="19" width="1.5" style="78" customWidth="1"/>
    <col min="20" max="20" width="13.6640625" customWidth="1"/>
    <col min="26" max="26" width="3.5" style="74" customWidth="1"/>
    <col min="33" max="33" width="3.33203125" style="74" customWidth="1"/>
    <col min="34" max="34" width="9.33203125" style="74" customWidth="1"/>
    <col min="39" max="16384" width="8.83203125" style="74"/>
  </cols>
  <sheetData>
    <row r="1" spans="2:40" ht="57.75" customHeight="1"/>
    <row r="2" spans="2:40" ht="49.5" customHeight="1">
      <c r="B2" s="93" t="str">
        <f>IF('About My Ranch'!D8="X","The required data for the Ranch-Raised Bulls Enterprise will be entered in this tab.","You did not indicate in the 'About My Ranch' Tab that you have a Ranch-Raised Bull Enterprise.")</f>
        <v>You did not indicate in the 'About My Ranch' Tab that you have a Ranch-Raised Bull Enterprise.</v>
      </c>
      <c r="C2" s="93"/>
    </row>
    <row r="3" spans="2:40" ht="26.25" customHeight="1">
      <c r="D3" s="206" t="s">
        <v>572</v>
      </c>
      <c r="E3" s="206"/>
      <c r="F3" s="331">
        <f>'About My Ranch'!F19-1</f>
        <v>-1</v>
      </c>
      <c r="G3" s="205"/>
      <c r="H3" s="216"/>
      <c r="I3" s="204"/>
    </row>
    <row r="4" spans="2:40" ht="33.75" customHeight="1">
      <c r="D4" s="206"/>
      <c r="E4" s="206"/>
      <c r="F4" s="205"/>
      <c r="G4" s="205"/>
      <c r="H4" s="216"/>
      <c r="I4" s="204"/>
    </row>
    <row r="5" spans="2:40" ht="33.75" customHeight="1">
      <c r="D5" s="206"/>
      <c r="E5" s="206"/>
      <c r="F5" s="205"/>
      <c r="G5" s="205"/>
      <c r="H5" s="216"/>
      <c r="I5" s="204"/>
    </row>
    <row r="6" spans="2:40" ht="33.75" customHeight="1">
      <c r="D6" s="206"/>
      <c r="E6" s="206"/>
      <c r="F6" s="205"/>
      <c r="G6" s="205"/>
      <c r="H6" s="216"/>
      <c r="I6" s="204"/>
    </row>
    <row r="7" spans="2:40" ht="33.75" customHeight="1">
      <c r="D7" s="206"/>
      <c r="E7" s="206"/>
      <c r="F7" s="205"/>
      <c r="G7" s="205"/>
      <c r="H7" s="216"/>
      <c r="I7" s="204"/>
    </row>
    <row r="8" spans="2:40" ht="33.75" customHeight="1">
      <c r="D8" s="206"/>
      <c r="E8" s="206"/>
      <c r="F8" s="205"/>
      <c r="G8" s="205"/>
      <c r="H8" s="216"/>
      <c r="I8" s="204"/>
    </row>
    <row r="9" spans="2:40" ht="33.75" customHeight="1">
      <c r="D9" s="206"/>
      <c r="E9" s="206"/>
      <c r="F9" s="205"/>
      <c r="G9" s="205"/>
      <c r="H9" s="216"/>
      <c r="I9" s="204"/>
    </row>
    <row r="10" spans="2:40" ht="33" customHeight="1">
      <c r="D10" s="206"/>
      <c r="E10" s="206"/>
      <c r="F10" s="205"/>
      <c r="G10" s="205"/>
      <c r="H10" s="216"/>
      <c r="I10" s="204"/>
    </row>
    <row r="11" spans="2:40" ht="11.25" customHeight="1">
      <c r="D11" s="206"/>
      <c r="E11" s="206"/>
      <c r="F11" s="205"/>
      <c r="G11" s="205"/>
      <c r="H11" s="216"/>
      <c r="I11" s="204"/>
    </row>
    <row r="12" spans="2:40" ht="57" customHeight="1">
      <c r="B12" s="252"/>
      <c r="C12" s="252"/>
      <c r="D12" s="302" t="s">
        <v>303</v>
      </c>
      <c r="E12" s="303"/>
      <c r="F12" s="300" t="s">
        <v>50</v>
      </c>
      <c r="G12" s="299"/>
      <c r="H12" s="301" t="s">
        <v>573</v>
      </c>
      <c r="I12" s="304"/>
      <c r="J12" s="305" t="s">
        <v>574</v>
      </c>
      <c r="K12" s="73"/>
      <c r="L12" s="330" t="s">
        <v>302</v>
      </c>
      <c r="N12" s="330" t="s">
        <v>52</v>
      </c>
      <c r="Q12" s="307"/>
      <c r="R12" s="307"/>
      <c r="S12" s="73"/>
      <c r="T12" s="306" t="s">
        <v>46</v>
      </c>
      <c r="U12" s="78"/>
      <c r="V12" s="260"/>
      <c r="W12" s="260"/>
      <c r="X12" s="260"/>
      <c r="Y12" s="260"/>
      <c r="Z12" s="260"/>
      <c r="AA12" s="260"/>
      <c r="AB12" s="74"/>
      <c r="AC12" s="260"/>
      <c r="AD12" s="260"/>
      <c r="AE12" s="260"/>
      <c r="AF12" s="260"/>
      <c r="AG12" s="260"/>
      <c r="AH12" s="260"/>
      <c r="AI12" s="74"/>
      <c r="AJ12" s="74"/>
      <c r="AK12" s="260"/>
      <c r="AL12" s="260"/>
      <c r="AM12" s="260"/>
      <c r="AN12" s="260"/>
    </row>
    <row r="13" spans="2:40" ht="18.75" customHeight="1">
      <c r="B13" s="261" t="s">
        <v>0</v>
      </c>
      <c r="C13" s="208"/>
      <c r="D13" s="311"/>
      <c r="E13" s="312"/>
      <c r="F13" s="609"/>
      <c r="G13" s="313"/>
      <c r="H13" s="609"/>
      <c r="I13" s="314"/>
      <c r="J13" s="609"/>
      <c r="K13" s="309"/>
      <c r="L13" s="609"/>
      <c r="M13" s="309"/>
      <c r="N13" s="321">
        <f>'1. Cow-Calf_InputForm'!D62</f>
        <v>0</v>
      </c>
      <c r="S13" s="73"/>
      <c r="T13" s="316" t="e">
        <f>IF(D13+#REF!-F13-H13-J13-L13&lt;&gt;0,"An error exists in inventory numbers, please fix.","Numbers reconcile, please proceed.")</f>
        <v>#REF!</v>
      </c>
      <c r="U13" s="78"/>
      <c r="Z13"/>
      <c r="AB13" s="74"/>
      <c r="AG13"/>
      <c r="AH13"/>
      <c r="AI13" s="74"/>
      <c r="AJ13" s="74"/>
      <c r="AM13"/>
      <c r="AN13"/>
    </row>
    <row r="14" spans="2:40" ht="8.25" customHeight="1">
      <c r="B14" s="252"/>
      <c r="C14" s="207"/>
      <c r="D14" s="315"/>
      <c r="E14" s="315"/>
      <c r="F14" s="314"/>
      <c r="G14" s="314"/>
      <c r="H14" s="314"/>
      <c r="I14" s="314"/>
      <c r="J14" s="314"/>
      <c r="K14" s="309"/>
      <c r="L14" s="314"/>
      <c r="M14" s="309"/>
      <c r="N14" s="314"/>
      <c r="S14" s="73"/>
      <c r="T14" s="73"/>
      <c r="U14" s="78"/>
      <c r="Z14"/>
      <c r="AB14" s="74"/>
      <c r="AG14"/>
      <c r="AH14"/>
      <c r="AI14" s="74"/>
      <c r="AJ14" s="74"/>
      <c r="AM14"/>
      <c r="AN14"/>
    </row>
    <row r="15" spans="2:40" ht="22.5" customHeight="1">
      <c r="B15" s="261" t="s">
        <v>296</v>
      </c>
      <c r="C15" s="208"/>
      <c r="D15" s="311"/>
      <c r="E15" s="209"/>
      <c r="F15" s="263"/>
      <c r="G15" s="210"/>
      <c r="H15" s="214"/>
      <c r="I15" s="211"/>
      <c r="J15" s="214"/>
      <c r="K15" s="212"/>
      <c r="L15" s="609"/>
      <c r="N15" s="830">
        <f>'1. Cow-Calf_InputForm'!F62*'1. Cow-Calf_InputForm'!H62</f>
        <v>0</v>
      </c>
      <c r="S15" s="73"/>
      <c r="T15" s="73"/>
      <c r="U15" s="78"/>
      <c r="Z15"/>
      <c r="AB15" s="74"/>
      <c r="AG15"/>
      <c r="AH15"/>
      <c r="AI15" s="74"/>
      <c r="AJ15" s="74"/>
      <c r="AM15"/>
      <c r="AN15"/>
    </row>
    <row r="16" spans="2:40" ht="19.5" customHeight="1">
      <c r="B16" s="261"/>
      <c r="C16" s="208"/>
      <c r="D16" s="214"/>
      <c r="E16" s="209"/>
      <c r="F16" s="214"/>
      <c r="G16" s="210"/>
      <c r="H16" s="263"/>
      <c r="I16" s="210"/>
      <c r="J16" s="214"/>
      <c r="K16" s="211"/>
      <c r="L16" s="214"/>
      <c r="M16" s="212"/>
      <c r="N16" s="214"/>
      <c r="S16" s="73"/>
      <c r="T16" s="73"/>
      <c r="U16" s="78"/>
      <c r="Z16"/>
      <c r="AB16" s="74"/>
      <c r="AG16"/>
      <c r="AH16"/>
      <c r="AI16" s="74"/>
      <c r="AJ16" s="74"/>
      <c r="AM16"/>
      <c r="AN16"/>
    </row>
    <row r="17" spans="2:19" s="80" customFormat="1" ht="36.75" customHeight="1">
      <c r="D17" s="79"/>
      <c r="E17" s="79"/>
      <c r="F17" s="79"/>
      <c r="G17" s="79"/>
      <c r="H17" s="79"/>
      <c r="I17" s="79"/>
      <c r="J17" s="79"/>
      <c r="K17" s="79"/>
    </row>
    <row r="18" spans="2:19" s="80" customFormat="1" ht="19.5" customHeight="1">
      <c r="B18" s="267" t="s">
        <v>297</v>
      </c>
      <c r="D18" s="287"/>
      <c r="E18" s="288"/>
      <c r="F18" s="317" t="str">
        <f>"What date were the bull calves weaned in "&amp;F3&amp;"?"</f>
        <v>What date were the bull calves weaned in -1?</v>
      </c>
      <c r="G18" s="79"/>
      <c r="I18" s="79"/>
      <c r="J18" s="79"/>
      <c r="K18" s="79"/>
    </row>
    <row r="19" spans="2:19" s="80" customFormat="1" ht="6" customHeight="1">
      <c r="D19" s="288"/>
      <c r="E19" s="288"/>
      <c r="F19" s="79"/>
      <c r="G19" s="79"/>
      <c r="I19" s="79"/>
      <c r="J19" s="79"/>
      <c r="K19" s="79"/>
    </row>
    <row r="20" spans="2:19" s="80" customFormat="1" ht="19.5" customHeight="1">
      <c r="B20" s="267" t="s">
        <v>247</v>
      </c>
      <c r="D20" s="287"/>
      <c r="E20" s="288"/>
      <c r="F20" s="216" t="str">
        <f>"When did you turn out your yearling bulls for breeding in Spring "&amp;'About My Ranch'!F19&amp;"?"</f>
        <v>When did you turn out your yearling bulls for breeding in Spring ?</v>
      </c>
      <c r="G20" s="79"/>
      <c r="I20" s="79"/>
      <c r="J20" s="79"/>
      <c r="K20" s="79"/>
    </row>
    <row r="21" spans="2:19" s="80" customFormat="1" ht="19.5" customHeight="1">
      <c r="D21" s="79"/>
      <c r="E21" s="79"/>
      <c r="F21" s="79"/>
      <c r="G21" s="79"/>
      <c r="H21" s="79"/>
      <c r="I21" s="79"/>
      <c r="J21" s="79"/>
      <c r="K21" s="79"/>
    </row>
    <row r="22" spans="2:19" s="80" customFormat="1" ht="19.5" customHeight="1">
      <c r="B22" s="221"/>
      <c r="D22" s="222"/>
      <c r="E22" s="79"/>
      <c r="F22" s="222"/>
      <c r="G22" s="79"/>
      <c r="H22" s="79"/>
      <c r="I22" s="79"/>
      <c r="J22" s="79"/>
      <c r="K22" s="79"/>
    </row>
    <row r="23" spans="2:19" s="80" customFormat="1" ht="19.5" customHeight="1">
      <c r="D23" s="79"/>
      <c r="E23" s="79"/>
      <c r="F23" s="79"/>
      <c r="G23" s="79"/>
      <c r="H23" s="79"/>
      <c r="I23" s="79"/>
      <c r="J23" s="79"/>
      <c r="K23" s="79"/>
      <c r="M23" s="174"/>
      <c r="N23" s="85"/>
      <c r="O23" s="84"/>
      <c r="P23" s="187"/>
      <c r="R23" s="79"/>
      <c r="S23" s="83"/>
    </row>
    <row r="24" spans="2:19" s="80" customFormat="1" ht="19.5" customHeight="1">
      <c r="D24" s="79"/>
      <c r="E24" s="79"/>
      <c r="F24" s="79"/>
      <c r="G24" s="79"/>
      <c r="H24" s="79"/>
      <c r="I24" s="79"/>
      <c r="J24" s="79"/>
      <c r="K24" s="79"/>
      <c r="M24" s="174"/>
      <c r="N24" s="85"/>
      <c r="O24" s="84"/>
      <c r="P24" s="187"/>
      <c r="R24" s="79"/>
      <c r="S24" s="83"/>
    </row>
    <row r="25" spans="2:19" s="80" customFormat="1" ht="33.75" customHeight="1">
      <c r="B25" s="366" t="s">
        <v>276</v>
      </c>
      <c r="D25" s="273" t="s">
        <v>0</v>
      </c>
      <c r="E25" s="79"/>
      <c r="F25" s="273" t="s">
        <v>269</v>
      </c>
      <c r="G25" s="79"/>
      <c r="H25" s="273" t="s">
        <v>275</v>
      </c>
      <c r="I25" s="79"/>
      <c r="J25" s="318" t="s">
        <v>301</v>
      </c>
      <c r="K25" s="79"/>
      <c r="M25" s="281"/>
      <c r="N25" s="85"/>
      <c r="O25" s="84"/>
      <c r="P25" s="282"/>
      <c r="R25" s="79"/>
      <c r="S25" s="83"/>
    </row>
    <row r="26" spans="2:19" s="80" customFormat="1" ht="6" customHeight="1">
      <c r="B26" s="223"/>
      <c r="D26" s="218"/>
      <c r="E26" s="79"/>
      <c r="F26" s="218"/>
      <c r="G26" s="79"/>
      <c r="H26" s="273"/>
      <c r="I26" s="79"/>
      <c r="J26" s="318"/>
      <c r="K26" s="79"/>
      <c r="M26" s="174"/>
      <c r="N26" s="85"/>
      <c r="O26" s="84"/>
      <c r="P26" s="187"/>
      <c r="R26" s="79"/>
      <c r="S26" s="83"/>
    </row>
    <row r="27" spans="2:19" s="80" customFormat="1" ht="19.5" customHeight="1">
      <c r="B27" s="267" t="s">
        <v>575</v>
      </c>
      <c r="D27" s="320">
        <f>H13</f>
        <v>0</v>
      </c>
      <c r="E27" s="286"/>
      <c r="F27" s="226"/>
      <c r="G27" s="286"/>
      <c r="H27" s="229"/>
      <c r="I27" s="79"/>
      <c r="J27" s="319" t="str">
        <f>IF(D27&gt;0,H27/D27,"")</f>
        <v/>
      </c>
      <c r="K27" s="79"/>
      <c r="M27" s="174"/>
      <c r="N27" s="85"/>
      <c r="O27" s="84"/>
      <c r="P27" s="187"/>
      <c r="R27" s="79"/>
      <c r="S27" s="83"/>
    </row>
    <row r="28" spans="2:19" s="80" customFormat="1" ht="6.75" customHeight="1">
      <c r="D28" s="228"/>
      <c r="E28" s="286"/>
      <c r="F28" s="228"/>
      <c r="G28" s="286"/>
      <c r="H28" s="230"/>
      <c r="I28" s="79"/>
      <c r="J28" s="318"/>
      <c r="K28" s="79"/>
      <c r="M28" s="174"/>
      <c r="N28" s="85"/>
      <c r="O28" s="84"/>
      <c r="P28" s="187"/>
      <c r="R28" s="79"/>
      <c r="S28" s="83"/>
    </row>
    <row r="29" spans="2:19" s="80" customFormat="1" ht="19.5" customHeight="1">
      <c r="B29" s="267" t="s">
        <v>576</v>
      </c>
      <c r="D29" s="320">
        <f>J13</f>
        <v>0</v>
      </c>
      <c r="E29" s="286"/>
      <c r="F29" s="226"/>
      <c r="G29" s="286"/>
      <c r="H29" s="229"/>
      <c r="I29" s="79"/>
      <c r="J29" s="319" t="str">
        <f>IF(D29&gt;0,H29/D29,"")</f>
        <v/>
      </c>
      <c r="K29" s="79"/>
      <c r="M29" s="174"/>
      <c r="N29" s="85"/>
      <c r="O29" s="84"/>
      <c r="P29" s="187"/>
      <c r="R29" s="79"/>
      <c r="S29" s="83"/>
    </row>
    <row r="30" spans="2:19" s="80" customFormat="1" ht="12" customHeight="1">
      <c r="D30" s="228"/>
      <c r="E30" s="286"/>
      <c r="F30" s="228"/>
      <c r="G30" s="286"/>
      <c r="H30" s="230"/>
      <c r="I30" s="79"/>
      <c r="J30" s="79"/>
      <c r="K30" s="79"/>
      <c r="M30" s="174"/>
      <c r="N30" s="85"/>
      <c r="O30" s="84"/>
      <c r="P30" s="187"/>
      <c r="R30" s="79"/>
      <c r="S30" s="83"/>
    </row>
    <row r="31" spans="2:19" s="80" customFormat="1" ht="6.75" customHeight="1">
      <c r="B31" s="225"/>
      <c r="D31" s="79"/>
      <c r="E31" s="79"/>
      <c r="F31" s="79"/>
      <c r="G31" s="79"/>
      <c r="H31" s="83"/>
      <c r="I31" s="79"/>
      <c r="J31" s="79"/>
      <c r="K31" s="79"/>
      <c r="M31" s="174"/>
      <c r="N31" s="85"/>
      <c r="O31" s="84"/>
      <c r="P31" s="187"/>
      <c r="R31" s="79"/>
      <c r="S31" s="83"/>
    </row>
    <row r="32" spans="2:19" s="80" customFormat="1" ht="19.5" customHeight="1">
      <c r="D32" s="79"/>
      <c r="E32" s="79"/>
      <c r="F32" s="79"/>
      <c r="G32" s="79"/>
      <c r="H32" s="79"/>
      <c r="I32" s="79"/>
      <c r="J32" s="79"/>
      <c r="K32" s="79"/>
      <c r="M32" s="174"/>
      <c r="N32" s="85"/>
      <c r="O32" s="84"/>
      <c r="P32" s="187"/>
      <c r="R32" s="79"/>
      <c r="S32" s="83"/>
    </row>
    <row r="33" spans="2:40" s="80" customFormat="1" ht="19.5" customHeight="1">
      <c r="D33" s="79"/>
      <c r="E33" s="79"/>
      <c r="F33" s="79"/>
      <c r="G33" s="79"/>
      <c r="H33" s="79"/>
      <c r="I33" s="79"/>
      <c r="J33" s="79"/>
      <c r="K33" s="79"/>
      <c r="M33" s="174"/>
      <c r="N33" s="85"/>
      <c r="O33" s="84"/>
      <c r="P33" s="187"/>
      <c r="R33" s="79"/>
      <c r="S33" s="83"/>
    </row>
    <row r="34" spans="2:40" s="64" customFormat="1" ht="16.5" customHeight="1">
      <c r="B34" s="74"/>
      <c r="H34" s="74"/>
    </row>
    <row r="35" spans="2:40" s="64" customFormat="1" ht="39.75" customHeight="1">
      <c r="B35" s="270"/>
      <c r="C35" s="90"/>
      <c r="D35" s="86"/>
      <c r="E35" s="86"/>
      <c r="F35" s="86"/>
      <c r="G35" s="86"/>
      <c r="H35" s="276"/>
      <c r="I35" s="86"/>
      <c r="J35" s="86"/>
    </row>
    <row r="36" spans="2:40" s="64" customFormat="1" ht="17.25" customHeight="1">
      <c r="B36" s="74"/>
      <c r="D36" s="87"/>
      <c r="E36" s="87"/>
      <c r="F36" s="87"/>
      <c r="G36" s="87"/>
      <c r="H36" s="277"/>
      <c r="I36" s="87"/>
      <c r="J36" s="68"/>
      <c r="K36" s="94"/>
      <c r="L36" s="231"/>
    </row>
    <row r="37" spans="2:40" s="64" customFormat="1" ht="24" customHeight="1">
      <c r="B37" s="857" t="s">
        <v>284</v>
      </c>
      <c r="C37" s="857"/>
      <c r="D37" s="857"/>
      <c r="E37" s="857"/>
      <c r="F37" s="857"/>
      <c r="G37" s="239"/>
      <c r="H37" s="278"/>
      <c r="I37" s="365"/>
      <c r="J37" s="859" t="s">
        <v>285</v>
      </c>
      <c r="K37" s="859"/>
      <c r="L37" s="859"/>
      <c r="M37" s="859"/>
      <c r="N37" s="859"/>
      <c r="O37" s="859"/>
      <c r="P37" s="859"/>
    </row>
    <row r="38" spans="2:40" s="64" customFormat="1" ht="22.5" customHeight="1">
      <c r="B38" s="272" t="s">
        <v>485</v>
      </c>
      <c r="C38" s="238"/>
      <c r="D38" s="237" t="s">
        <v>282</v>
      </c>
      <c r="E38" s="858" t="s">
        <v>283</v>
      </c>
      <c r="F38" s="858"/>
      <c r="G38" s="858"/>
      <c r="H38" s="271"/>
      <c r="I38" s="233"/>
      <c r="J38" s="860" t="s">
        <v>485</v>
      </c>
      <c r="K38" s="860"/>
      <c r="L38" s="860"/>
      <c r="M38" s="237"/>
      <c r="N38" s="365" t="s">
        <v>282</v>
      </c>
      <c r="O38" s="365"/>
      <c r="P38" s="365" t="s">
        <v>286</v>
      </c>
    </row>
    <row r="39" spans="2:40" customFormat="1" ht="22.5" customHeight="1">
      <c r="B39" s="292" t="s">
        <v>142</v>
      </c>
      <c r="C39" s="232"/>
      <c r="D39" s="367"/>
      <c r="E39" s="240"/>
      <c r="F39" s="294"/>
      <c r="G39" s="240"/>
      <c r="H39" s="279"/>
      <c r="I39" s="233"/>
      <c r="J39" s="885"/>
      <c r="K39" s="885"/>
      <c r="L39" s="885"/>
      <c r="M39" s="244"/>
      <c r="N39" s="188"/>
      <c r="O39" s="244"/>
      <c r="P39" s="245"/>
      <c r="Q39" s="73"/>
      <c r="R39" s="73"/>
      <c r="S39" s="78"/>
      <c r="Z39" s="74"/>
      <c r="AG39" s="74"/>
      <c r="AH39" s="74"/>
      <c r="AM39" s="74"/>
      <c r="AN39" s="74"/>
    </row>
    <row r="40" spans="2:40" customFormat="1" ht="27.75" customHeight="1">
      <c r="B40" s="293" t="s">
        <v>291</v>
      </c>
      <c r="C40" s="233"/>
      <c r="D40" s="298"/>
      <c r="E40" s="240"/>
      <c r="F40" s="295"/>
      <c r="G40" s="240"/>
      <c r="H40" s="279"/>
      <c r="I40" s="233"/>
      <c r="J40" s="885"/>
      <c r="K40" s="885"/>
      <c r="L40" s="885"/>
      <c r="M40" s="241"/>
      <c r="N40" s="243"/>
      <c r="O40" s="241"/>
      <c r="P40" s="364"/>
      <c r="Q40" s="73"/>
      <c r="R40" s="73"/>
      <c r="S40" s="78"/>
      <c r="Z40" s="74"/>
      <c r="AG40" s="74"/>
      <c r="AH40" s="74"/>
      <c r="AM40" s="74"/>
      <c r="AN40" s="74"/>
    </row>
    <row r="41" spans="2:40" customFormat="1" ht="27.75" customHeight="1">
      <c r="B41" s="291"/>
      <c r="C41" s="234"/>
      <c r="D41" s="364"/>
      <c r="E41" s="241"/>
      <c r="F41" s="296"/>
      <c r="G41" s="241"/>
      <c r="H41" s="241"/>
      <c r="I41" s="235"/>
      <c r="J41" s="886"/>
      <c r="K41" s="886"/>
      <c r="L41" s="886"/>
      <c r="M41" s="241"/>
      <c r="N41" s="243"/>
      <c r="O41" s="241"/>
      <c r="P41" s="364"/>
      <c r="Q41" s="73"/>
      <c r="R41" s="73"/>
      <c r="S41" s="78"/>
      <c r="Z41" s="74"/>
      <c r="AG41" s="74"/>
      <c r="AH41" s="74"/>
      <c r="AM41" s="74"/>
      <c r="AN41" s="74"/>
    </row>
    <row r="42" spans="2:40" customFormat="1" ht="27.75" customHeight="1">
      <c r="B42" s="291"/>
      <c r="C42" s="234"/>
      <c r="D42" s="364"/>
      <c r="E42" s="241"/>
      <c r="F42" s="296"/>
      <c r="G42" s="241"/>
      <c r="H42" s="241"/>
      <c r="I42" s="235"/>
      <c r="J42" s="886"/>
      <c r="K42" s="886"/>
      <c r="L42" s="886"/>
      <c r="M42" s="241"/>
      <c r="N42" s="243"/>
      <c r="O42" s="241"/>
      <c r="P42" s="364"/>
      <c r="Q42" s="73"/>
      <c r="R42" s="73"/>
      <c r="S42" s="78"/>
      <c r="Z42" s="74"/>
      <c r="AG42" s="74"/>
      <c r="AH42" s="74"/>
      <c r="AM42" s="74"/>
      <c r="AN42" s="74"/>
    </row>
    <row r="43" spans="2:40" customFormat="1" ht="27.75" customHeight="1">
      <c r="B43" s="291"/>
      <c r="C43" s="637"/>
      <c r="D43" s="364"/>
      <c r="E43" s="235"/>
      <c r="F43" s="632"/>
      <c r="G43" s="78"/>
      <c r="H43" s="225"/>
      <c r="I43" s="89"/>
      <c r="J43" s="887"/>
      <c r="K43" s="887"/>
      <c r="L43" s="887"/>
      <c r="M43" s="78"/>
      <c r="N43" s="364"/>
      <c r="O43" s="89"/>
      <c r="P43" s="633"/>
      <c r="Q43" s="73"/>
      <c r="R43" s="73"/>
      <c r="S43" s="78"/>
      <c r="Z43" s="74"/>
      <c r="AG43" s="74"/>
      <c r="AH43" s="74"/>
      <c r="AM43" s="74"/>
      <c r="AN43" s="74"/>
    </row>
    <row r="44" spans="2:40" customFormat="1">
      <c r="B44" s="74"/>
      <c r="C44" s="74"/>
      <c r="D44" s="73"/>
      <c r="E44" s="73"/>
      <c r="F44" s="73"/>
      <c r="G44" s="73"/>
      <c r="H44" s="73"/>
      <c r="I44" s="73"/>
      <c r="J44" s="246" t="s">
        <v>292</v>
      </c>
      <c r="K44" s="73"/>
      <c r="L44" s="75"/>
      <c r="M44" s="73"/>
      <c r="N44" s="73"/>
      <c r="O44" s="73"/>
      <c r="P44" s="73"/>
      <c r="Q44" s="73"/>
      <c r="R44" s="73"/>
      <c r="S44" s="78"/>
      <c r="Z44" s="74"/>
      <c r="AG44" s="74"/>
      <c r="AH44" s="74"/>
      <c r="AM44" s="74"/>
      <c r="AN44" s="74"/>
    </row>
    <row r="45" spans="2:40" customFormat="1" ht="21" customHeight="1">
      <c r="B45" s="74"/>
      <c r="C45" s="74"/>
      <c r="D45" s="73"/>
      <c r="E45" s="73"/>
      <c r="F45" s="73"/>
      <c r="G45" s="73"/>
      <c r="H45" s="73"/>
      <c r="I45" s="73"/>
      <c r="J45" s="246"/>
      <c r="K45" s="73"/>
      <c r="L45" s="75"/>
      <c r="M45" s="73"/>
      <c r="N45" s="73"/>
      <c r="O45" s="73"/>
      <c r="P45" s="73"/>
      <c r="Q45" s="73"/>
      <c r="R45" s="73"/>
      <c r="S45" s="78"/>
      <c r="Z45" s="74"/>
      <c r="AG45" s="74"/>
      <c r="AH45" s="74"/>
      <c r="AM45" s="74"/>
      <c r="AN45" s="74"/>
    </row>
    <row r="46" spans="2:40">
      <c r="J46" s="246"/>
      <c r="K46" s="73"/>
      <c r="L46" s="75"/>
    </row>
    <row r="47" spans="2:40" ht="28.5" customHeight="1">
      <c r="J47" s="246"/>
      <c r="K47" s="73"/>
      <c r="L47" s="75"/>
    </row>
    <row r="48" spans="2:40" ht="18.75" customHeight="1">
      <c r="B48" s="857" t="s">
        <v>287</v>
      </c>
      <c r="C48" s="857"/>
      <c r="D48" s="857"/>
      <c r="E48" s="857"/>
      <c r="F48" s="857"/>
      <c r="G48" s="857"/>
      <c r="H48" s="857"/>
      <c r="I48" s="365"/>
      <c r="L48" s="859" t="s">
        <v>288</v>
      </c>
      <c r="M48" s="859"/>
      <c r="N48" s="859"/>
      <c r="O48" s="859"/>
      <c r="P48" s="859"/>
      <c r="Q48" s="859"/>
      <c r="R48" s="859"/>
    </row>
    <row r="49" spans="2:40" s="64" customFormat="1" ht="24.75" customHeight="1">
      <c r="B49" s="247" t="s">
        <v>290</v>
      </c>
      <c r="C49" s="238"/>
      <c r="D49" s="237" t="s">
        <v>159</v>
      </c>
      <c r="E49" s="858" t="s">
        <v>0</v>
      </c>
      <c r="F49" s="858"/>
      <c r="G49" s="858"/>
      <c r="H49" s="237" t="s">
        <v>289</v>
      </c>
      <c r="I49" s="233"/>
      <c r="L49" s="248" t="s">
        <v>290</v>
      </c>
      <c r="M49" s="248"/>
      <c r="N49" s="248"/>
      <c r="O49" s="237"/>
      <c r="P49" s="365" t="s">
        <v>159</v>
      </c>
      <c r="Q49" s="365"/>
      <c r="R49" s="365" t="s">
        <v>0</v>
      </c>
      <c r="S49" s="88"/>
      <c r="T49" s="237" t="s">
        <v>278</v>
      </c>
      <c r="U49" s="62"/>
      <c r="V49" s="62"/>
      <c r="W49" s="62"/>
      <c r="X49" s="62"/>
      <c r="Y49" s="62"/>
      <c r="AA49" s="62"/>
      <c r="AB49" s="62"/>
      <c r="AC49" s="62"/>
      <c r="AD49" s="62"/>
      <c r="AE49" s="62"/>
      <c r="AF49" s="62"/>
      <c r="AI49" s="62"/>
      <c r="AJ49" s="62"/>
      <c r="AK49" s="62"/>
      <c r="AL49" s="62"/>
    </row>
    <row r="50" spans="2:40" ht="24" customHeight="1">
      <c r="B50" s="175"/>
      <c r="C50" s="232"/>
      <c r="D50" s="242"/>
      <c r="E50" s="240"/>
      <c r="F50" s="242"/>
      <c r="G50" s="240"/>
      <c r="H50" s="280"/>
      <c r="I50" s="233"/>
      <c r="L50" s="888"/>
      <c r="M50" s="889"/>
      <c r="N50" s="890"/>
      <c r="O50" s="244"/>
      <c r="P50" s="188"/>
      <c r="Q50" s="244"/>
      <c r="R50" s="245"/>
      <c r="T50" s="242"/>
    </row>
    <row r="51" spans="2:40" ht="24" customHeight="1">
      <c r="B51" s="173"/>
      <c r="C51" s="233"/>
      <c r="D51" s="242"/>
      <c r="E51" s="240"/>
      <c r="F51" s="242"/>
      <c r="G51" s="240"/>
      <c r="H51" s="280"/>
      <c r="I51" s="233"/>
      <c r="L51" s="888"/>
      <c r="M51" s="889"/>
      <c r="N51" s="890"/>
      <c r="O51" s="241"/>
      <c r="P51" s="243"/>
      <c r="Q51" s="241"/>
      <c r="R51" s="364"/>
      <c r="T51" s="242"/>
    </row>
    <row r="52" spans="2:40" ht="24" customHeight="1">
      <c r="B52" s="177"/>
      <c r="C52" s="234"/>
      <c r="D52" s="243"/>
      <c r="E52" s="241"/>
      <c r="F52" s="243"/>
      <c r="G52" s="241"/>
      <c r="H52" s="243"/>
      <c r="I52" s="235"/>
      <c r="L52" s="891"/>
      <c r="M52" s="892"/>
      <c r="N52" s="893"/>
      <c r="O52" s="241"/>
      <c r="P52" s="243"/>
      <c r="Q52" s="241"/>
      <c r="R52" s="364"/>
      <c r="T52" s="243"/>
    </row>
    <row r="53" spans="2:40" ht="24" customHeight="1">
      <c r="B53" s="177"/>
      <c r="C53" s="234"/>
      <c r="D53" s="243"/>
      <c r="E53" s="241"/>
      <c r="F53" s="243"/>
      <c r="G53" s="241"/>
      <c r="H53" s="243"/>
      <c r="I53" s="235"/>
      <c r="L53" s="891"/>
      <c r="M53" s="892"/>
      <c r="N53" s="893"/>
      <c r="O53" s="241"/>
      <c r="P53" s="243"/>
      <c r="Q53" s="241"/>
      <c r="R53" s="364"/>
      <c r="T53" s="243"/>
    </row>
    <row r="54" spans="2:40" ht="24" customHeight="1">
      <c r="B54" s="634"/>
      <c r="C54" s="77"/>
      <c r="D54" s="364"/>
      <c r="E54" s="78"/>
      <c r="F54" s="364"/>
      <c r="G54" s="78"/>
      <c r="H54" s="635"/>
      <c r="I54" s="89"/>
      <c r="L54" s="894"/>
      <c r="M54" s="895"/>
      <c r="N54" s="896"/>
      <c r="O54" s="78"/>
      <c r="P54" s="364"/>
      <c r="Q54" s="89"/>
      <c r="R54" s="633"/>
      <c r="T54" s="636"/>
    </row>
    <row r="55" spans="2:40">
      <c r="B55" s="81"/>
      <c r="C55" s="81"/>
      <c r="D55" s="81"/>
      <c r="E55" s="81"/>
      <c r="F55" s="81"/>
      <c r="G55" s="81"/>
      <c r="H55" s="81"/>
      <c r="I55" s="81"/>
      <c r="J55" s="81"/>
      <c r="K55" s="81"/>
      <c r="L55" s="82"/>
      <c r="M55" s="64"/>
      <c r="N55"/>
      <c r="O55"/>
      <c r="P55"/>
      <c r="Q55"/>
      <c r="R55"/>
      <c r="S55" s="74"/>
    </row>
    <row r="56" spans="2:40">
      <c r="M56" s="75"/>
      <c r="N56"/>
      <c r="O56"/>
      <c r="P56"/>
      <c r="Q56"/>
      <c r="R56"/>
      <c r="S56" s="74"/>
      <c r="U56" s="75"/>
      <c r="V56" s="75"/>
    </row>
    <row r="57" spans="2:40">
      <c r="M57"/>
      <c r="N57" s="75"/>
      <c r="O57" s="75"/>
      <c r="P57" s="75"/>
      <c r="Q57" s="75"/>
      <c r="R57" s="75"/>
      <c r="S57" s="75"/>
      <c r="T57" s="75"/>
    </row>
    <row r="58" spans="2:40">
      <c r="M58"/>
      <c r="N58"/>
      <c r="O58"/>
      <c r="P58"/>
      <c r="Q58"/>
      <c r="R58"/>
      <c r="S58" s="74"/>
    </row>
    <row r="59" spans="2:40">
      <c r="M59"/>
      <c r="N59"/>
      <c r="O59"/>
      <c r="P59"/>
      <c r="Q59"/>
      <c r="R59"/>
      <c r="S59" s="74"/>
    </row>
    <row r="60" spans="2:40">
      <c r="M60"/>
      <c r="N60"/>
      <c r="O60"/>
      <c r="P60"/>
      <c r="Q60"/>
      <c r="R60"/>
      <c r="S60" s="74"/>
    </row>
    <row r="61" spans="2:40">
      <c r="M61"/>
      <c r="N61"/>
      <c r="O61"/>
      <c r="P61"/>
      <c r="Q61"/>
      <c r="R61"/>
      <c r="S61" s="74"/>
    </row>
    <row r="62" spans="2:40" customFormat="1">
      <c r="B62" s="74"/>
      <c r="C62" s="74"/>
      <c r="D62" s="73"/>
      <c r="E62" s="73"/>
      <c r="F62" s="73"/>
      <c r="G62" s="73"/>
      <c r="H62" s="73"/>
      <c r="I62" s="73"/>
      <c r="J62" s="74"/>
      <c r="K62" s="74"/>
      <c r="L62" s="74"/>
      <c r="S62" s="74"/>
      <c r="Z62" s="74"/>
      <c r="AG62" s="74"/>
      <c r="AH62" s="74"/>
      <c r="AM62" s="74"/>
      <c r="AN62" s="74"/>
    </row>
    <row r="63" spans="2:40" customFormat="1">
      <c r="B63" s="74"/>
      <c r="C63" s="74"/>
      <c r="D63" s="73"/>
      <c r="E63" s="73"/>
      <c r="F63" s="73"/>
      <c r="G63" s="73"/>
      <c r="H63" s="73"/>
      <c r="I63" s="73"/>
      <c r="J63" s="74"/>
      <c r="K63" s="74"/>
      <c r="L63" s="74"/>
      <c r="M63" s="73"/>
      <c r="S63" s="74"/>
      <c r="Z63" s="74"/>
      <c r="AG63" s="74"/>
      <c r="AH63" s="74"/>
      <c r="AM63" s="74"/>
      <c r="AN63" s="74"/>
    </row>
  </sheetData>
  <sheetCalcPr fullCalcOnLoad="1"/>
  <sheetProtection sheet="1" objects="1" scenarios="1"/>
  <mergeCells count="17">
    <mergeCell ref="L50:N50"/>
    <mergeCell ref="L51:N51"/>
    <mergeCell ref="L52:N52"/>
    <mergeCell ref="L53:N53"/>
    <mergeCell ref="L54:N54"/>
    <mergeCell ref="E49:G49"/>
    <mergeCell ref="B37:F37"/>
    <mergeCell ref="J37:P37"/>
    <mergeCell ref="E38:G38"/>
    <mergeCell ref="J38:L38"/>
    <mergeCell ref="J39:L39"/>
    <mergeCell ref="J40:L40"/>
    <mergeCell ref="J41:L41"/>
    <mergeCell ref="J42:L42"/>
    <mergeCell ref="J43:L43"/>
    <mergeCell ref="B48:H48"/>
    <mergeCell ref="L48:R48"/>
  </mergeCells>
  <phoneticPr fontId="116" type="noConversion"/>
  <pageMargins left="0.7" right="0.7" top="0.75" bottom="0.75" header="0.3" footer="0.3"/>
  <headerFooter>
    <oddFooter>&amp;L&amp;A&amp;C&amp;D&amp;R&amp;P of &amp;N</oddFooter>
  </headerFooter>
  <drawing r:id="rId1"/>
  <legacyDrawing r:id="rId2"/>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AN62"/>
  <sheetViews>
    <sheetView showGridLines="0" showRowColHeaders="0" workbookViewId="0">
      <selection activeCell="D13" sqref="D13"/>
    </sheetView>
  </sheetViews>
  <sheetFormatPr baseColWidth="10" defaultColWidth="8.83203125" defaultRowHeight="14"/>
  <cols>
    <col min="1" max="1" width="5" style="74" customWidth="1"/>
    <col min="2" max="2" width="29.6640625" style="74" customWidth="1"/>
    <col min="3" max="3" width="2.1640625" style="74" customWidth="1"/>
    <col min="4" max="4" width="12.1640625" style="73" customWidth="1"/>
    <col min="5" max="5" width="2" style="73" customWidth="1"/>
    <col min="6" max="6" width="12.5" style="73" customWidth="1"/>
    <col min="7" max="7" width="2.33203125" style="73" customWidth="1"/>
    <col min="8" max="8" width="12.5" style="73" customWidth="1"/>
    <col min="9" max="9" width="1.6640625" style="73" customWidth="1"/>
    <col min="10" max="10" width="12.6640625" style="74" customWidth="1"/>
    <col min="11" max="11" width="1.6640625" style="74" customWidth="1"/>
    <col min="12" max="12" width="12.83203125" style="74" customWidth="1"/>
    <col min="13" max="13" width="1.6640625" style="73" customWidth="1"/>
    <col min="14" max="14" width="13.5" style="73" customWidth="1"/>
    <col min="15" max="15" width="1.5" style="73" customWidth="1"/>
    <col min="16" max="16" width="12.5" style="73" customWidth="1"/>
    <col min="17" max="17" width="1.83203125" style="73" customWidth="1"/>
    <col min="18" max="18" width="11.83203125" style="73" customWidth="1"/>
    <col min="19" max="19" width="1.5" style="78" customWidth="1"/>
    <col min="20" max="20" width="13.6640625" customWidth="1"/>
    <col min="26" max="26" width="3.5" style="74" customWidth="1"/>
    <col min="33" max="33" width="3.33203125" style="74" customWidth="1"/>
    <col min="34" max="34" width="9.33203125" style="74" customWidth="1"/>
    <col min="39" max="16384" width="8.83203125" style="74"/>
  </cols>
  <sheetData>
    <row r="1" spans="2:40" ht="57.75" customHeight="1"/>
    <row r="2" spans="2:40" ht="49.5" customHeight="1">
      <c r="B2" s="93" t="str">
        <f>IF('About My Ranch'!D9="X","The required data for the Backgrounder Enterprise will be entered in this tab.","You did not indicate in the 'About My Ranch' Tab that you have a Backgrounder Enterprise.")</f>
        <v>You did not indicate in the 'About My Ranch' Tab that you have a Backgrounder Enterprise.</v>
      </c>
      <c r="C2" s="93"/>
    </row>
    <row r="3" spans="2:40" ht="26.25" customHeight="1">
      <c r="D3" s="334" t="s">
        <v>305</v>
      </c>
      <c r="E3" s="206"/>
      <c r="F3" s="331">
        <f>'About My Ranch'!F19-1</f>
        <v>-1</v>
      </c>
      <c r="G3" s="205"/>
      <c r="H3" s="333" t="s">
        <v>304</v>
      </c>
      <c r="I3" s="204"/>
      <c r="J3" s="332">
        <f>'About My Ranch'!F19</f>
        <v>0</v>
      </c>
    </row>
    <row r="4" spans="2:40" ht="33.75" customHeight="1">
      <c r="D4" s="206"/>
      <c r="E4" s="206"/>
      <c r="F4" s="205"/>
      <c r="G4" s="205"/>
      <c r="H4" s="216"/>
      <c r="I4" s="204"/>
    </row>
    <row r="5" spans="2:40" ht="33.75" customHeight="1">
      <c r="D5" s="206"/>
      <c r="E5" s="206"/>
      <c r="F5" s="205"/>
      <c r="G5" s="205"/>
      <c r="H5" s="216"/>
      <c r="I5" s="204"/>
    </row>
    <row r="6" spans="2:40" ht="33.75" customHeight="1">
      <c r="D6" s="206"/>
      <c r="E6" s="206"/>
      <c r="F6" s="205"/>
      <c r="G6" s="205"/>
      <c r="H6" s="216"/>
      <c r="I6" s="204"/>
    </row>
    <row r="7" spans="2:40" ht="33.75" customHeight="1">
      <c r="D7" s="206"/>
      <c r="E7" s="206"/>
      <c r="F7" s="205"/>
      <c r="G7" s="205"/>
      <c r="H7" s="216"/>
      <c r="I7" s="204"/>
    </row>
    <row r="8" spans="2:40" ht="33.75" customHeight="1">
      <c r="D8" s="206"/>
      <c r="E8" s="206"/>
      <c r="F8" s="205"/>
      <c r="G8" s="205"/>
      <c r="H8" s="216"/>
      <c r="I8" s="204"/>
    </row>
    <row r="9" spans="2:40" ht="33.75" customHeight="1">
      <c r="D9" s="206"/>
      <c r="E9" s="206"/>
      <c r="F9" s="205"/>
      <c r="G9" s="205"/>
      <c r="H9" s="216"/>
      <c r="I9" s="204"/>
    </row>
    <row r="10" spans="2:40" ht="45" customHeight="1">
      <c r="D10" s="206"/>
      <c r="E10" s="206"/>
      <c r="F10" s="205"/>
      <c r="G10" s="205"/>
      <c r="H10" s="216"/>
      <c r="I10" s="204"/>
    </row>
    <row r="11" spans="2:40" ht="11.25" customHeight="1">
      <c r="D11" s="206"/>
      <c r="E11" s="206"/>
      <c r="F11" s="205"/>
      <c r="G11" s="205"/>
      <c r="H11" s="216"/>
      <c r="I11" s="204"/>
    </row>
    <row r="12" spans="2:40" ht="39" customHeight="1">
      <c r="B12" s="252"/>
      <c r="C12" s="252"/>
      <c r="D12" s="302" t="s">
        <v>303</v>
      </c>
      <c r="E12" s="303"/>
      <c r="F12" s="299" t="s">
        <v>408</v>
      </c>
      <c r="G12" s="299"/>
      <c r="H12" s="300" t="s">
        <v>50</v>
      </c>
      <c r="I12" s="299"/>
      <c r="J12" s="301" t="s">
        <v>409</v>
      </c>
      <c r="K12" s="304"/>
      <c r="L12" s="305" t="s">
        <v>306</v>
      </c>
      <c r="N12" s="305" t="s">
        <v>108</v>
      </c>
      <c r="P12" s="305" t="s">
        <v>52</v>
      </c>
      <c r="Q12" s="307"/>
      <c r="R12" s="307"/>
      <c r="S12" s="73"/>
      <c r="T12" s="306" t="s">
        <v>46</v>
      </c>
      <c r="U12" s="78"/>
      <c r="V12" s="260"/>
      <c r="W12" s="260"/>
      <c r="X12" s="260"/>
      <c r="Y12" s="260"/>
      <c r="Z12" s="260"/>
      <c r="AA12" s="260"/>
      <c r="AB12" s="74"/>
      <c r="AC12" s="260"/>
      <c r="AD12" s="260"/>
      <c r="AE12" s="260"/>
      <c r="AF12" s="260"/>
      <c r="AG12" s="260"/>
      <c r="AH12" s="260"/>
      <c r="AI12" s="74"/>
      <c r="AJ12" s="74"/>
      <c r="AK12" s="260"/>
      <c r="AL12" s="260"/>
      <c r="AM12" s="260"/>
      <c r="AN12" s="260"/>
    </row>
    <row r="13" spans="2:40" ht="18.75" customHeight="1">
      <c r="B13" s="261" t="s">
        <v>0</v>
      </c>
      <c r="C13" s="208"/>
      <c r="D13" s="311"/>
      <c r="E13" s="312"/>
      <c r="F13" s="609"/>
      <c r="G13" s="310"/>
      <c r="H13" s="609"/>
      <c r="I13" s="313"/>
      <c r="J13" s="609"/>
      <c r="K13" s="314"/>
      <c r="L13" s="609"/>
      <c r="M13" s="335"/>
      <c r="N13" s="609"/>
      <c r="O13" s="309"/>
      <c r="P13" s="321">
        <f>'1. Cow-Calf_InputForm'!D58+'1. Cow-Calf_InputForm'!J58</f>
        <v>0</v>
      </c>
      <c r="S13" s="73"/>
      <c r="T13" s="316" t="str">
        <f>IF(D13+F13-H13-J13-L13-N13&lt;&gt;0,"An error exists in inventory numbers, please fix.","Numbers reconcile, please proceed.")</f>
        <v>Numbers reconcile, please proceed.</v>
      </c>
      <c r="U13" s="78"/>
      <c r="Z13"/>
      <c r="AB13" s="74"/>
      <c r="AG13"/>
      <c r="AH13"/>
      <c r="AI13" s="74"/>
      <c r="AJ13" s="74"/>
      <c r="AM13"/>
      <c r="AN13"/>
    </row>
    <row r="14" spans="2:40" ht="8.25" customHeight="1">
      <c r="B14" s="252"/>
      <c r="C14" s="207"/>
      <c r="D14" s="315"/>
      <c r="E14" s="315"/>
      <c r="F14" s="310"/>
      <c r="G14" s="310"/>
      <c r="H14" s="314"/>
      <c r="I14" s="314"/>
      <c r="J14" s="314"/>
      <c r="K14" s="314"/>
      <c r="L14" s="314"/>
      <c r="M14" s="335"/>
      <c r="N14" s="314"/>
      <c r="O14" s="309"/>
      <c r="P14" s="314"/>
      <c r="S14" s="73"/>
      <c r="T14" s="73"/>
      <c r="U14" s="78"/>
      <c r="Z14"/>
      <c r="AB14" s="74"/>
      <c r="AG14"/>
      <c r="AH14"/>
      <c r="AI14" s="74"/>
      <c r="AJ14" s="74"/>
      <c r="AM14"/>
      <c r="AN14"/>
    </row>
    <row r="15" spans="2:40" ht="19.5" customHeight="1">
      <c r="B15" s="261" t="s">
        <v>307</v>
      </c>
      <c r="C15" s="207"/>
      <c r="D15" s="400"/>
      <c r="E15" s="315"/>
      <c r="F15" s="310"/>
      <c r="G15" s="310"/>
      <c r="H15" s="314"/>
      <c r="I15" s="314"/>
      <c r="J15" s="313"/>
      <c r="K15" s="314"/>
      <c r="L15" s="638"/>
      <c r="M15" s="335"/>
      <c r="N15" s="638"/>
      <c r="O15" s="309"/>
      <c r="P15" s="342" t="e">
        <f>('1. Cow-Calf_InputForm'!D58*'1. Cow-Calf_InputForm'!F58+'1. Cow-Calf_InputForm'!J58*'1. Cow-Calf_InputForm'!L58)/('1. Cow-Calf_InputForm'!D58+'1. Cow-Calf_InputForm'!J58)</f>
        <v>#DIV/0!</v>
      </c>
      <c r="S15" s="73"/>
      <c r="T15" s="73"/>
      <c r="U15" s="78"/>
      <c r="Z15"/>
      <c r="AB15" s="74"/>
      <c r="AG15"/>
      <c r="AH15"/>
      <c r="AI15" s="74"/>
      <c r="AJ15" s="74"/>
      <c r="AM15"/>
      <c r="AN15"/>
    </row>
    <row r="16" spans="2:40" ht="8.25" customHeight="1">
      <c r="B16" s="252"/>
      <c r="C16" s="207"/>
      <c r="D16" s="315"/>
      <c r="E16" s="315"/>
      <c r="F16" s="310"/>
      <c r="G16" s="310"/>
      <c r="H16" s="314"/>
      <c r="I16" s="314"/>
      <c r="J16" s="314"/>
      <c r="K16" s="314"/>
      <c r="L16" s="314"/>
      <c r="M16" s="335"/>
      <c r="N16" s="314"/>
      <c r="O16" s="309"/>
      <c r="P16" s="314"/>
      <c r="S16" s="73"/>
      <c r="T16" s="73"/>
      <c r="U16" s="78"/>
      <c r="Z16"/>
      <c r="AB16" s="74"/>
      <c r="AG16"/>
      <c r="AH16"/>
      <c r="AI16" s="74"/>
      <c r="AJ16" s="74"/>
      <c r="AM16"/>
      <c r="AN16"/>
    </row>
    <row r="17" spans="2:40" ht="22.5" customHeight="1">
      <c r="B17" s="261" t="s">
        <v>480</v>
      </c>
      <c r="C17" s="208"/>
      <c r="D17" s="336"/>
      <c r="E17" s="337"/>
      <c r="F17" s="338"/>
      <c r="G17" s="339"/>
      <c r="H17" s="338"/>
      <c r="I17" s="339"/>
      <c r="J17" s="338"/>
      <c r="K17" s="340"/>
      <c r="L17" s="639"/>
      <c r="M17" s="341"/>
      <c r="N17" s="640"/>
      <c r="P17" s="342" t="e">
        <f>('1. Cow-Calf_InputForm'!D58*'1. Cow-Calf_InputForm'!F58*'1. Cow-Calf_InputForm'!H58+'1. Cow-Calf_InputForm'!J58*'1. Cow-Calf_InputForm'!L58*'1. Cow-Calf_InputForm'!N58)/('1. Cow-Calf_InputForm'!D58+'1. Cow-Calf_InputForm'!J58)</f>
        <v>#DIV/0!</v>
      </c>
      <c r="S17" s="73"/>
      <c r="T17" s="73"/>
      <c r="U17" s="78"/>
      <c r="Z17"/>
      <c r="AB17" s="74"/>
      <c r="AG17"/>
      <c r="AH17"/>
      <c r="AI17" s="74"/>
      <c r="AJ17" s="74"/>
      <c r="AM17"/>
      <c r="AN17"/>
    </row>
    <row r="18" spans="2:40" ht="19.5" customHeight="1">
      <c r="B18" s="261"/>
      <c r="C18" s="208"/>
      <c r="D18" s="214"/>
      <c r="E18" s="209"/>
      <c r="F18" s="214"/>
      <c r="G18" s="210"/>
      <c r="H18" s="263"/>
      <c r="I18" s="210"/>
      <c r="J18" s="214"/>
      <c r="K18" s="211"/>
      <c r="L18" s="214"/>
      <c r="M18" s="212"/>
      <c r="N18" s="214"/>
      <c r="S18" s="73"/>
      <c r="T18" s="73"/>
      <c r="U18" s="78"/>
      <c r="Z18"/>
      <c r="AB18" s="74"/>
      <c r="AG18"/>
      <c r="AH18"/>
      <c r="AI18" s="74"/>
      <c r="AJ18" s="74"/>
      <c r="AM18"/>
      <c r="AN18"/>
    </row>
    <row r="19" spans="2:40" s="80" customFormat="1" ht="36.75" customHeight="1">
      <c r="D19" s="79"/>
      <c r="E19" s="79"/>
      <c r="F19" s="79"/>
      <c r="G19" s="79"/>
      <c r="H19" s="79"/>
      <c r="I19" s="79"/>
      <c r="J19" s="79"/>
      <c r="K19" s="79"/>
    </row>
    <row r="20" spans="2:40" s="80" customFormat="1" ht="19.5" customHeight="1">
      <c r="B20" s="267" t="s">
        <v>297</v>
      </c>
      <c r="D20" s="807"/>
      <c r="E20" s="288"/>
      <c r="F20" s="343" t="str">
        <f>"What date were the calves weaned in "&amp;F3&amp;"? This will be used as the feeding start date."</f>
        <v>What date were the calves weaned in -1? This will be used as the feeding start date.</v>
      </c>
      <c r="G20" s="79"/>
      <c r="I20" s="79"/>
      <c r="J20" s="79"/>
      <c r="K20" s="79"/>
    </row>
    <row r="21" spans="2:40" s="80" customFormat="1" ht="6" customHeight="1">
      <c r="D21" s="288"/>
      <c r="E21" s="288"/>
      <c r="F21" s="79"/>
      <c r="G21" s="79"/>
      <c r="I21" s="79"/>
      <c r="J21" s="79"/>
      <c r="K21" s="79"/>
    </row>
    <row r="22" spans="2:40" s="80" customFormat="1" ht="21" customHeight="1">
      <c r="B22" s="266" t="s">
        <v>306</v>
      </c>
      <c r="D22" s="808"/>
      <c r="E22" s="288"/>
      <c r="F22" s="219" t="s">
        <v>486</v>
      </c>
      <c r="G22" s="79"/>
      <c r="I22" s="79"/>
      <c r="J22" s="79"/>
      <c r="K22" s="79"/>
    </row>
    <row r="23" spans="2:40" s="80" customFormat="1" ht="6" customHeight="1">
      <c r="D23" s="288"/>
      <c r="E23" s="288"/>
      <c r="F23" s="79"/>
      <c r="G23" s="79"/>
      <c r="I23" s="79"/>
      <c r="J23" s="79"/>
      <c r="K23" s="79"/>
    </row>
    <row r="24" spans="2:40" s="80" customFormat="1" ht="21" customHeight="1">
      <c r="B24" s="266" t="s">
        <v>487</v>
      </c>
      <c r="D24" s="809"/>
      <c r="E24" s="288"/>
      <c r="F24" s="219" t="s">
        <v>488</v>
      </c>
      <c r="G24" s="79"/>
      <c r="I24" s="79"/>
      <c r="J24" s="79"/>
      <c r="K24" s="79"/>
    </row>
    <row r="25" spans="2:40" s="80" customFormat="1" ht="6" customHeight="1">
      <c r="D25" s="288"/>
      <c r="E25" s="288"/>
      <c r="F25" s="79"/>
      <c r="G25" s="79"/>
      <c r="I25" s="79"/>
      <c r="J25" s="79"/>
      <c r="K25" s="79"/>
    </row>
    <row r="26" spans="2:40" s="80" customFormat="1" ht="19.5" customHeight="1">
      <c r="B26" s="221"/>
      <c r="D26" s="222"/>
      <c r="E26" s="79"/>
      <c r="F26" s="222"/>
      <c r="G26" s="79"/>
      <c r="H26" s="79"/>
      <c r="I26" s="79"/>
      <c r="J26" s="79"/>
      <c r="K26" s="79"/>
    </row>
    <row r="27" spans="2:40" s="80" customFormat="1" ht="19.5" customHeight="1">
      <c r="D27" s="79"/>
      <c r="E27" s="79"/>
      <c r="F27" s="79"/>
      <c r="G27" s="79"/>
      <c r="H27" s="79"/>
      <c r="I27" s="79"/>
      <c r="J27" s="79"/>
      <c r="K27" s="79"/>
      <c r="M27" s="174"/>
      <c r="N27" s="85"/>
      <c r="O27" s="84"/>
      <c r="P27" s="187"/>
      <c r="R27" s="79"/>
      <c r="S27" s="83"/>
    </row>
    <row r="28" spans="2:40" s="80" customFormat="1" ht="19.5" customHeight="1">
      <c r="D28" s="79"/>
      <c r="E28" s="79"/>
      <c r="F28" s="79"/>
      <c r="G28" s="79"/>
      <c r="H28" s="79"/>
      <c r="I28" s="79"/>
      <c r="J28" s="79"/>
      <c r="K28" s="79"/>
      <c r="M28" s="174"/>
      <c r="N28" s="85"/>
      <c r="O28" s="84"/>
      <c r="P28" s="187"/>
      <c r="R28" s="79"/>
      <c r="S28" s="83"/>
    </row>
    <row r="29" spans="2:40" s="80" customFormat="1" ht="30.75" customHeight="1">
      <c r="B29" s="224" t="s">
        <v>483</v>
      </c>
      <c r="D29" s="259" t="s">
        <v>47</v>
      </c>
      <c r="F29" s="348" t="s">
        <v>0</v>
      </c>
      <c r="G29" s="79"/>
      <c r="H29" s="273" t="s">
        <v>269</v>
      </c>
      <c r="J29" s="273" t="s">
        <v>280</v>
      </c>
      <c r="K29" s="79"/>
      <c r="L29" s="318"/>
      <c r="M29" s="281"/>
      <c r="N29" s="85"/>
      <c r="O29" s="84"/>
      <c r="P29" s="282"/>
      <c r="R29" s="79"/>
      <c r="S29" s="83"/>
    </row>
    <row r="30" spans="2:40" s="80" customFormat="1" ht="19.5" customHeight="1">
      <c r="B30" s="268" t="s">
        <v>484</v>
      </c>
      <c r="D30" s="641"/>
      <c r="F30" s="320">
        <f>F13</f>
        <v>0</v>
      </c>
      <c r="G30" s="79"/>
      <c r="H30" s="226"/>
      <c r="J30" s="227"/>
      <c r="K30" s="79"/>
      <c r="L30" s="319" t="str">
        <f>IF(F30&gt;0,J30/F30,"")</f>
        <v/>
      </c>
      <c r="M30" s="174"/>
      <c r="N30" s="85"/>
      <c r="O30" s="84"/>
      <c r="P30" s="187"/>
      <c r="R30" s="79"/>
      <c r="S30" s="83"/>
    </row>
    <row r="31" spans="2:40" s="80" customFormat="1" ht="9.75" customHeight="1">
      <c r="B31" s="268"/>
      <c r="D31" s="345"/>
      <c r="F31" s="363"/>
      <c r="G31" s="79"/>
      <c r="H31" s="346"/>
      <c r="J31" s="362"/>
      <c r="K31" s="79"/>
      <c r="L31" s="319"/>
      <c r="M31" s="174"/>
      <c r="N31" s="85"/>
      <c r="O31" s="84"/>
      <c r="P31" s="187"/>
      <c r="R31" s="79"/>
      <c r="S31" s="83"/>
    </row>
    <row r="32" spans="2:40" s="80" customFormat="1" ht="30.75" customHeight="1">
      <c r="B32" s="224" t="s">
        <v>276</v>
      </c>
      <c r="D32" s="259" t="s">
        <v>482</v>
      </c>
      <c r="F32" s="348" t="s">
        <v>0</v>
      </c>
      <c r="G32" s="79"/>
      <c r="H32" s="273" t="s">
        <v>269</v>
      </c>
      <c r="I32" s="79"/>
      <c r="J32" s="273" t="s">
        <v>275</v>
      </c>
      <c r="K32" s="79"/>
      <c r="L32" s="318" t="str">
        <f>IF(J13&gt;0,"Avg $/hd","")</f>
        <v/>
      </c>
      <c r="M32" s="281"/>
      <c r="N32" s="85"/>
      <c r="O32" s="84"/>
      <c r="P32" s="282"/>
      <c r="R32" s="79"/>
      <c r="S32" s="83"/>
    </row>
    <row r="33" spans="2:40" s="80" customFormat="1" ht="6" customHeight="1">
      <c r="B33" s="223"/>
      <c r="F33" s="218"/>
      <c r="G33" s="79"/>
      <c r="H33" s="218"/>
      <c r="I33" s="79"/>
      <c r="J33" s="273"/>
      <c r="K33" s="79"/>
      <c r="L33" s="318"/>
      <c r="M33" s="174"/>
      <c r="N33" s="85"/>
      <c r="O33" s="84"/>
      <c r="P33" s="187"/>
      <c r="R33" s="79"/>
      <c r="S33" s="83"/>
    </row>
    <row r="34" spans="2:40" s="80" customFormat="1" ht="19.5" customHeight="1">
      <c r="B34" s="267" t="s">
        <v>481</v>
      </c>
      <c r="D34" s="641"/>
      <c r="F34" s="643"/>
      <c r="G34" s="286"/>
      <c r="H34" s="226"/>
      <c r="I34" s="286"/>
      <c r="J34" s="644"/>
      <c r="K34" s="79"/>
      <c r="L34" s="319" t="str">
        <f>IF(F34&gt;0,J34/F34,"")</f>
        <v/>
      </c>
      <c r="M34" s="174"/>
      <c r="N34" s="85"/>
      <c r="O34" s="84"/>
      <c r="P34" s="187"/>
      <c r="R34" s="79"/>
      <c r="S34" s="83"/>
    </row>
    <row r="35" spans="2:40" s="80" customFormat="1" ht="7.5" customHeight="1">
      <c r="B35" s="267"/>
      <c r="D35" s="374"/>
      <c r="F35" s="344"/>
      <c r="G35" s="286"/>
      <c r="H35" s="346"/>
      <c r="I35" s="286"/>
      <c r="J35" s="362"/>
      <c r="K35" s="79"/>
      <c r="L35" s="319"/>
      <c r="M35" s="174"/>
      <c r="N35" s="85"/>
      <c r="O35" s="84"/>
      <c r="P35" s="187"/>
      <c r="R35" s="79"/>
      <c r="S35" s="83"/>
    </row>
    <row r="36" spans="2:40" s="80" customFormat="1" ht="19.5" customHeight="1">
      <c r="B36" s="267" t="s">
        <v>481</v>
      </c>
      <c r="D36" s="641"/>
      <c r="F36" s="643"/>
      <c r="G36" s="286"/>
      <c r="H36" s="226"/>
      <c r="I36" s="286"/>
      <c r="J36" s="644"/>
      <c r="K36" s="79"/>
      <c r="L36" s="319" t="str">
        <f>IF(F36&gt;0,J36/F36,"")</f>
        <v/>
      </c>
      <c r="M36" s="174"/>
      <c r="N36" s="85"/>
      <c r="O36" s="84"/>
      <c r="P36" s="187"/>
      <c r="R36" s="79"/>
      <c r="S36" s="83"/>
    </row>
    <row r="37" spans="2:40" s="80" customFormat="1" ht="6.75" customHeight="1">
      <c r="D37" s="288"/>
      <c r="F37" s="228"/>
      <c r="G37" s="286"/>
      <c r="H37" s="228"/>
      <c r="I37" s="286"/>
      <c r="J37" s="645"/>
      <c r="K37" s="79"/>
      <c r="L37" s="318"/>
      <c r="M37" s="174"/>
      <c r="N37" s="85"/>
      <c r="O37" s="84"/>
      <c r="P37" s="187"/>
      <c r="R37" s="79"/>
      <c r="S37" s="83"/>
    </row>
    <row r="38" spans="2:40" s="80" customFormat="1" ht="19.5" customHeight="1">
      <c r="B38" s="267" t="s">
        <v>481</v>
      </c>
      <c r="D38" s="641"/>
      <c r="F38" s="643"/>
      <c r="G38" s="286"/>
      <c r="H38" s="226"/>
      <c r="I38" s="286"/>
      <c r="J38" s="644"/>
      <c r="K38" s="79"/>
      <c r="L38" s="319" t="str">
        <f>IF(F38&gt;0,J38/F38,"")</f>
        <v/>
      </c>
      <c r="M38" s="174"/>
      <c r="N38" s="85"/>
      <c r="O38" s="84"/>
      <c r="P38" s="187"/>
      <c r="R38" s="79"/>
      <c r="S38" s="83"/>
    </row>
    <row r="39" spans="2:40" s="80" customFormat="1" ht="12" customHeight="1">
      <c r="D39" s="228"/>
      <c r="E39" s="286"/>
      <c r="F39" s="228"/>
      <c r="G39" s="286"/>
      <c r="H39" s="230"/>
      <c r="I39" s="79"/>
      <c r="J39" s="79"/>
      <c r="K39" s="79"/>
      <c r="M39" s="174"/>
      <c r="N39" s="85"/>
      <c r="O39" s="84"/>
      <c r="P39" s="187"/>
      <c r="R39" s="79"/>
      <c r="S39" s="83"/>
    </row>
    <row r="40" spans="2:40" s="80" customFormat="1" ht="6.75" customHeight="1">
      <c r="B40" s="225"/>
      <c r="D40" s="79"/>
      <c r="E40" s="79"/>
      <c r="F40" s="79"/>
      <c r="G40" s="79"/>
      <c r="H40" s="83"/>
      <c r="I40" s="79"/>
      <c r="J40" s="79"/>
      <c r="K40" s="79"/>
      <c r="M40" s="174"/>
      <c r="N40" s="85"/>
      <c r="O40" s="84"/>
      <c r="P40" s="187"/>
      <c r="R40" s="79"/>
      <c r="S40" s="83"/>
    </row>
    <row r="41" spans="2:40" s="64" customFormat="1" ht="16.5" customHeight="1">
      <c r="B41" s="74"/>
      <c r="H41" s="74"/>
    </row>
    <row r="42" spans="2:40" s="64" customFormat="1" ht="39.75" customHeight="1">
      <c r="B42" s="270"/>
      <c r="C42" s="90"/>
      <c r="D42" s="86"/>
      <c r="E42" s="86"/>
      <c r="F42" s="86"/>
      <c r="G42" s="86"/>
      <c r="H42" s="276"/>
      <c r="I42" s="86"/>
      <c r="J42" s="86"/>
    </row>
    <row r="43" spans="2:40" s="64" customFormat="1" ht="17.25" customHeight="1">
      <c r="B43" s="74"/>
      <c r="D43" s="87"/>
      <c r="E43" s="87"/>
      <c r="F43" s="87"/>
      <c r="G43" s="87"/>
      <c r="H43" s="277"/>
      <c r="I43" s="87"/>
      <c r="J43" s="68"/>
      <c r="K43" s="94"/>
      <c r="L43" s="231"/>
    </row>
    <row r="44" spans="2:40" s="64" customFormat="1" ht="24" customHeight="1">
      <c r="B44" s="857" t="s">
        <v>284</v>
      </c>
      <c r="C44" s="857"/>
      <c r="D44" s="857"/>
      <c r="E44" s="857"/>
      <c r="F44" s="857"/>
      <c r="G44" s="239"/>
      <c r="H44" s="278"/>
      <c r="I44" s="236"/>
      <c r="J44" s="859" t="s">
        <v>285</v>
      </c>
      <c r="K44" s="859"/>
      <c r="L44" s="859"/>
      <c r="M44" s="859"/>
      <c r="N44" s="859"/>
      <c r="O44" s="859"/>
      <c r="P44" s="859"/>
    </row>
    <row r="45" spans="2:40" s="64" customFormat="1" ht="22.5" customHeight="1">
      <c r="B45" s="272" t="s">
        <v>485</v>
      </c>
      <c r="C45" s="238"/>
      <c r="D45" s="237" t="s">
        <v>282</v>
      </c>
      <c r="E45" s="858" t="s">
        <v>283</v>
      </c>
      <c r="F45" s="858"/>
      <c r="G45" s="858"/>
      <c r="H45" s="271"/>
      <c r="I45" s="233"/>
      <c r="J45" s="860" t="s">
        <v>485</v>
      </c>
      <c r="K45" s="860"/>
      <c r="L45" s="860"/>
      <c r="M45" s="237"/>
      <c r="N45" s="236" t="s">
        <v>282</v>
      </c>
      <c r="O45" s="236"/>
      <c r="P45" s="236" t="s">
        <v>286</v>
      </c>
    </row>
    <row r="46" spans="2:40" customFormat="1" ht="22.5" customHeight="1">
      <c r="B46" s="810"/>
      <c r="C46" s="779"/>
      <c r="D46" s="694"/>
      <c r="E46" s="780"/>
      <c r="F46" s="813"/>
      <c r="G46" s="780"/>
      <c r="H46" s="781"/>
      <c r="I46" s="778"/>
      <c r="J46" s="898"/>
      <c r="K46" s="898"/>
      <c r="L46" s="898"/>
      <c r="M46" s="663"/>
      <c r="N46" s="694"/>
      <c r="O46" s="663"/>
      <c r="P46" s="245"/>
      <c r="Q46" s="73"/>
      <c r="R46" s="73"/>
      <c r="S46" s="78"/>
      <c r="Z46" s="74"/>
      <c r="AG46" s="74"/>
      <c r="AH46" s="74"/>
      <c r="AM46" s="74"/>
      <c r="AN46" s="74"/>
    </row>
    <row r="47" spans="2:40" customFormat="1" ht="27.75" customHeight="1">
      <c r="B47" s="811"/>
      <c r="C47" s="778"/>
      <c r="D47" s="812"/>
      <c r="E47" s="780"/>
      <c r="F47" s="814"/>
      <c r="G47" s="780"/>
      <c r="H47" s="781"/>
      <c r="I47" s="778"/>
      <c r="J47" s="898"/>
      <c r="K47" s="898"/>
      <c r="L47" s="898"/>
      <c r="M47" s="664"/>
      <c r="N47" s="364"/>
      <c r="O47" s="664"/>
      <c r="P47" s="364"/>
      <c r="Q47" s="73"/>
      <c r="R47" s="73"/>
      <c r="S47" s="78"/>
      <c r="Z47" s="74"/>
      <c r="AG47" s="74"/>
      <c r="AH47" s="74"/>
      <c r="AM47" s="74"/>
      <c r="AN47" s="74"/>
    </row>
    <row r="48" spans="2:40" customFormat="1" ht="27.75" customHeight="1">
      <c r="B48" s="702"/>
      <c r="C48" s="782"/>
      <c r="D48" s="697"/>
      <c r="E48" s="664"/>
      <c r="F48" s="796"/>
      <c r="G48" s="664"/>
      <c r="H48" s="664"/>
      <c r="I48" s="665"/>
      <c r="J48" s="897"/>
      <c r="K48" s="897"/>
      <c r="L48" s="897"/>
      <c r="M48" s="664"/>
      <c r="N48" s="364"/>
      <c r="O48" s="664"/>
      <c r="P48" s="364"/>
      <c r="Q48" s="73"/>
      <c r="R48" s="73"/>
      <c r="S48" s="78"/>
      <c r="Z48" s="74"/>
      <c r="AG48" s="74"/>
      <c r="AH48" s="74"/>
      <c r="AM48" s="74"/>
      <c r="AN48" s="74"/>
    </row>
    <row r="49" spans="2:40" customFormat="1" ht="27.75" customHeight="1">
      <c r="B49" s="702"/>
      <c r="C49" s="782"/>
      <c r="D49" s="697"/>
      <c r="E49" s="664"/>
      <c r="F49" s="796"/>
      <c r="G49" s="664"/>
      <c r="H49" s="664"/>
      <c r="I49" s="665"/>
      <c r="J49" s="897"/>
      <c r="K49" s="897"/>
      <c r="L49" s="897"/>
      <c r="M49" s="664"/>
      <c r="N49" s="364"/>
      <c r="O49" s="664"/>
      <c r="P49" s="364"/>
      <c r="Q49" s="73"/>
      <c r="R49" s="73"/>
      <c r="S49" s="78"/>
      <c r="Z49" s="74"/>
      <c r="AG49" s="74"/>
      <c r="AH49" s="74"/>
      <c r="AM49" s="74"/>
      <c r="AN49" s="74"/>
    </row>
    <row r="50" spans="2:40" customFormat="1" ht="27.75" customHeight="1">
      <c r="B50" s="702"/>
      <c r="C50" s="783"/>
      <c r="D50" s="697"/>
      <c r="E50" s="665"/>
      <c r="F50" s="796"/>
      <c r="G50" s="665"/>
      <c r="H50" s="415"/>
      <c r="I50" s="666"/>
      <c r="J50" s="881"/>
      <c r="K50" s="881"/>
      <c r="L50" s="881"/>
      <c r="M50" s="665"/>
      <c r="N50" s="364"/>
      <c r="O50" s="666"/>
      <c r="P50" s="633"/>
      <c r="Q50" s="73"/>
      <c r="R50" s="73"/>
      <c r="S50" s="78"/>
      <c r="Z50" s="74"/>
      <c r="AG50" s="74"/>
      <c r="AH50" s="74"/>
      <c r="AM50" s="74"/>
      <c r="AN50" s="74"/>
    </row>
    <row r="51" spans="2:40" customFormat="1">
      <c r="B51" s="74"/>
      <c r="C51" s="74"/>
      <c r="D51" s="73"/>
      <c r="E51" s="73"/>
      <c r="F51" s="73"/>
      <c r="G51" s="73"/>
      <c r="H51" s="73"/>
      <c r="I51" s="73"/>
      <c r="J51" s="246" t="s">
        <v>292</v>
      </c>
      <c r="K51" s="73"/>
      <c r="L51" s="75"/>
      <c r="M51" s="73"/>
      <c r="N51" s="73"/>
      <c r="O51" s="73"/>
      <c r="P51" s="73"/>
      <c r="Q51" s="73"/>
      <c r="R51" s="73"/>
      <c r="S51" s="78"/>
      <c r="Z51" s="74"/>
      <c r="AG51" s="74"/>
      <c r="AH51" s="74"/>
      <c r="AM51" s="74"/>
      <c r="AN51" s="74"/>
    </row>
    <row r="52" spans="2:40" customFormat="1" ht="21" customHeight="1">
      <c r="B52" s="74"/>
      <c r="C52" s="74"/>
      <c r="D52" s="797" t="s">
        <v>591</v>
      </c>
      <c r="E52" s="710"/>
      <c r="F52" s="798" t="e">
        <f>(SUM(F46:F50)+SUM(P46:P50))/D13</f>
        <v>#DIV/0!</v>
      </c>
      <c r="G52" s="73"/>
      <c r="H52" s="73"/>
      <c r="I52" s="73"/>
      <c r="J52" s="246"/>
      <c r="K52" s="73"/>
      <c r="L52" s="75"/>
      <c r="M52" s="73"/>
      <c r="N52" s="73"/>
      <c r="O52" s="73"/>
      <c r="P52" s="73"/>
      <c r="Q52" s="73"/>
      <c r="R52" s="73"/>
      <c r="S52" s="78"/>
      <c r="Z52" s="74"/>
      <c r="AG52" s="74"/>
      <c r="AH52" s="74"/>
      <c r="AM52" s="74"/>
      <c r="AN52" s="74"/>
    </row>
    <row r="53" spans="2:40">
      <c r="J53" s="246"/>
      <c r="K53" s="73"/>
      <c r="L53" s="75"/>
    </row>
    <row r="54" spans="2:40">
      <c r="B54" s="81"/>
      <c r="C54" s="81"/>
      <c r="D54" s="81"/>
      <c r="E54" s="81"/>
      <c r="F54" s="81"/>
      <c r="G54" s="81"/>
      <c r="H54" s="81"/>
      <c r="I54" s="81"/>
      <c r="J54" s="81"/>
      <c r="K54" s="81"/>
      <c r="L54" s="82"/>
      <c r="M54" s="64"/>
      <c r="N54"/>
      <c r="O54"/>
      <c r="P54"/>
      <c r="Q54"/>
      <c r="R54"/>
      <c r="S54" s="74"/>
    </row>
    <row r="55" spans="2:40">
      <c r="M55" s="75"/>
      <c r="N55"/>
      <c r="O55"/>
      <c r="P55"/>
      <c r="Q55"/>
      <c r="R55"/>
      <c r="S55" s="74"/>
      <c r="U55" s="75"/>
      <c r="V55" s="75"/>
    </row>
    <row r="56" spans="2:40">
      <c r="M56"/>
      <c r="N56" s="75"/>
      <c r="O56" s="75"/>
      <c r="P56" s="75"/>
      <c r="Q56" s="75"/>
      <c r="R56" s="75"/>
      <c r="S56" s="75"/>
      <c r="T56" s="75"/>
    </row>
    <row r="57" spans="2:40">
      <c r="M57"/>
      <c r="N57"/>
      <c r="O57"/>
      <c r="P57"/>
      <c r="Q57"/>
      <c r="R57"/>
      <c r="S57" s="74"/>
    </row>
    <row r="58" spans="2:40">
      <c r="M58"/>
      <c r="N58"/>
      <c r="O58"/>
      <c r="P58"/>
      <c r="Q58"/>
      <c r="R58"/>
      <c r="S58" s="74"/>
    </row>
    <row r="59" spans="2:40">
      <c r="M59"/>
      <c r="N59"/>
      <c r="O59"/>
      <c r="P59"/>
      <c r="Q59"/>
      <c r="R59"/>
      <c r="S59" s="74"/>
    </row>
    <row r="60" spans="2:40">
      <c r="M60"/>
      <c r="N60"/>
      <c r="O60"/>
      <c r="P60"/>
      <c r="Q60"/>
      <c r="R60"/>
      <c r="S60" s="74"/>
    </row>
    <row r="61" spans="2:40" customFormat="1">
      <c r="B61" s="74"/>
      <c r="C61" s="74"/>
      <c r="D61" s="73"/>
      <c r="E61" s="73"/>
      <c r="F61" s="73"/>
      <c r="G61" s="73"/>
      <c r="H61" s="73"/>
      <c r="I61" s="73"/>
      <c r="J61" s="74"/>
      <c r="K61" s="74"/>
      <c r="L61" s="74"/>
      <c r="S61" s="74"/>
      <c r="Z61" s="74"/>
      <c r="AG61" s="74"/>
      <c r="AH61" s="74"/>
      <c r="AM61" s="74"/>
      <c r="AN61" s="74"/>
    </row>
    <row r="62" spans="2:40" customFormat="1">
      <c r="B62" s="74"/>
      <c r="C62" s="74"/>
      <c r="D62" s="73"/>
      <c r="E62" s="73"/>
      <c r="F62" s="73"/>
      <c r="G62" s="73"/>
      <c r="H62" s="73"/>
      <c r="I62" s="73"/>
      <c r="J62" s="74"/>
      <c r="K62" s="74"/>
      <c r="L62" s="74"/>
      <c r="M62" s="73"/>
      <c r="S62" s="74"/>
      <c r="Z62" s="74"/>
      <c r="AG62" s="74"/>
      <c r="AH62" s="74"/>
      <c r="AM62" s="74"/>
      <c r="AN62" s="74"/>
    </row>
  </sheetData>
  <sheetCalcPr fullCalcOnLoad="1"/>
  <sheetProtection sheet="1" objects="1" scenarios="1"/>
  <mergeCells count="9">
    <mergeCell ref="J48:L48"/>
    <mergeCell ref="J49:L49"/>
    <mergeCell ref="J50:L50"/>
    <mergeCell ref="B44:F44"/>
    <mergeCell ref="J44:P44"/>
    <mergeCell ref="E45:G45"/>
    <mergeCell ref="J45:L45"/>
    <mergeCell ref="J46:L46"/>
    <mergeCell ref="J47:L47"/>
  </mergeCells>
  <phoneticPr fontId="116" type="noConversion"/>
  <pageMargins left="0.7" right="0.7" top="0.75" bottom="0.75" header="0.3" footer="0.3"/>
  <headerFooter>
    <oddFooter>&amp;L&amp;A&amp;C&amp;D&amp;R&amp;P of &amp;N</oddFooter>
  </headerFooter>
  <rowBreaks count="1" manualBreakCount="1">
    <brk id="26" max="20" man="1"/>
  </rowBreaks>
  <drawing r:id="rId1"/>
  <legacyDrawing r:id="rId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AN61"/>
  <sheetViews>
    <sheetView showGridLines="0" showRowColHeaders="0" workbookViewId="0">
      <selection activeCell="F13" sqref="F13"/>
    </sheetView>
  </sheetViews>
  <sheetFormatPr baseColWidth="10" defaultColWidth="8.83203125" defaultRowHeight="14"/>
  <cols>
    <col min="1" max="1" width="5" style="74" customWidth="1"/>
    <col min="2" max="2" width="29.6640625" style="74" customWidth="1"/>
    <col min="3" max="3" width="2.1640625" style="74" customWidth="1"/>
    <col min="4" max="4" width="12.1640625" style="73" customWidth="1"/>
    <col min="5" max="5" width="2" style="73" customWidth="1"/>
    <col min="6" max="6" width="12.5" style="73" customWidth="1"/>
    <col min="7" max="7" width="2.33203125" style="73" customWidth="1"/>
    <col min="8" max="8" width="12.5" style="73" customWidth="1"/>
    <col min="9" max="9" width="1.6640625" style="73" customWidth="1"/>
    <col min="10" max="10" width="12.6640625" style="74" customWidth="1"/>
    <col min="11" max="11" width="1.6640625" style="74" customWidth="1"/>
    <col min="12" max="12" width="14.6640625" style="74" customWidth="1"/>
    <col min="13" max="13" width="1.6640625" style="73" customWidth="1"/>
    <col min="14" max="14" width="13.5" style="73" customWidth="1"/>
    <col min="15" max="15" width="1.5" style="73" customWidth="1"/>
    <col min="16" max="16" width="12.5" style="73" customWidth="1"/>
    <col min="17" max="17" width="1.83203125" style="73" customWidth="1"/>
    <col min="18" max="18" width="11.83203125" style="73" customWidth="1"/>
    <col min="19" max="19" width="1.5" style="78" customWidth="1"/>
    <col min="20" max="20" width="13.6640625" customWidth="1"/>
    <col min="26" max="26" width="3.5" style="74" customWidth="1"/>
    <col min="33" max="33" width="3.33203125" style="74" customWidth="1"/>
    <col min="34" max="34" width="9.33203125" style="74" customWidth="1"/>
    <col min="39" max="16384" width="8.83203125" style="74"/>
  </cols>
  <sheetData>
    <row r="1" spans="2:40" ht="57.75" customHeight="1"/>
    <row r="2" spans="2:40" ht="49.5" customHeight="1">
      <c r="B2" s="93" t="str">
        <f>IF('About My Ranch'!D10="X","The required data for the Grasser Enterprise will be entered in this tab.","You did not indicate in the 'About My Ranch' Tab that you have a Grasser Enterprise.")</f>
        <v>You did not indicate in the 'About My Ranch' Tab that you have a Grasser Enterprise.</v>
      </c>
      <c r="C2" s="93"/>
    </row>
    <row r="3" spans="2:40" ht="26.25" customHeight="1">
      <c r="D3" s="334" t="s">
        <v>489</v>
      </c>
      <c r="E3" s="206"/>
      <c r="F3" s="331">
        <f>'About My Ranch'!F19-1</f>
        <v>-1</v>
      </c>
      <c r="G3" s="205"/>
      <c r="H3" s="333" t="s">
        <v>304</v>
      </c>
      <c r="I3" s="204"/>
      <c r="J3" s="332">
        <f>'About My Ranch'!F19</f>
        <v>0</v>
      </c>
    </row>
    <row r="4" spans="2:40" ht="24" customHeight="1">
      <c r="D4" s="206"/>
      <c r="E4" s="206"/>
      <c r="F4" s="205"/>
      <c r="G4" s="205"/>
      <c r="H4" s="216"/>
      <c r="I4" s="204"/>
    </row>
    <row r="5" spans="2:40" ht="21.75" customHeight="1">
      <c r="D5" s="206"/>
      <c r="E5" s="206"/>
      <c r="F5" s="205"/>
      <c r="G5" s="205"/>
      <c r="H5" s="216"/>
      <c r="I5" s="204"/>
    </row>
    <row r="6" spans="2:40" ht="33.75" customHeight="1">
      <c r="D6" s="206"/>
      <c r="E6" s="206"/>
      <c r="F6" s="205"/>
      <c r="G6" s="205"/>
      <c r="H6" s="216"/>
      <c r="I6" s="204"/>
    </row>
    <row r="7" spans="2:40" ht="33.75" customHeight="1">
      <c r="D7" s="206"/>
      <c r="E7" s="206"/>
      <c r="F7" s="205"/>
      <c r="G7" s="205"/>
      <c r="H7" s="216"/>
      <c r="I7" s="204"/>
    </row>
    <row r="8" spans="2:40" ht="33.75" customHeight="1">
      <c r="D8" s="206"/>
      <c r="E8" s="206"/>
      <c r="F8" s="205"/>
      <c r="G8" s="205"/>
      <c r="H8" s="216"/>
      <c r="I8" s="204"/>
    </row>
    <row r="9" spans="2:40" ht="33.75" customHeight="1">
      <c r="D9" s="206"/>
      <c r="E9" s="206"/>
      <c r="F9" s="205"/>
      <c r="G9" s="205"/>
      <c r="H9" s="216"/>
      <c r="I9" s="204"/>
    </row>
    <row r="10" spans="2:40" ht="24.75" customHeight="1">
      <c r="D10" s="206"/>
      <c r="E10" s="206"/>
      <c r="F10" s="205"/>
      <c r="G10" s="205"/>
      <c r="H10" s="216"/>
      <c r="I10" s="204"/>
    </row>
    <row r="11" spans="2:40" ht="11.25" customHeight="1">
      <c r="D11" s="206"/>
      <c r="E11" s="206"/>
      <c r="F11" s="205"/>
      <c r="G11" s="205"/>
      <c r="H11" s="216"/>
      <c r="I11" s="204"/>
    </row>
    <row r="12" spans="2:40" ht="39" customHeight="1">
      <c r="B12" s="252"/>
      <c r="C12" s="252"/>
      <c r="D12" s="302" t="s">
        <v>303</v>
      </c>
      <c r="E12" s="303"/>
      <c r="F12" s="299" t="s">
        <v>408</v>
      </c>
      <c r="G12" s="299"/>
      <c r="H12" s="300" t="s">
        <v>50</v>
      </c>
      <c r="I12" s="299"/>
      <c r="J12" s="301" t="s">
        <v>409</v>
      </c>
      <c r="K12" s="304"/>
      <c r="L12" s="305" t="s">
        <v>108</v>
      </c>
      <c r="N12" s="350"/>
      <c r="Q12" s="307"/>
      <c r="R12" s="306" t="s">
        <v>46</v>
      </c>
      <c r="S12" s="73"/>
      <c r="U12" s="78"/>
      <c r="V12" s="260"/>
      <c r="W12" s="260"/>
      <c r="X12" s="260"/>
      <c r="Y12" s="260"/>
      <c r="Z12" s="260"/>
      <c r="AA12" s="260"/>
      <c r="AB12" s="74"/>
      <c r="AC12" s="260"/>
      <c r="AD12" s="260"/>
      <c r="AE12" s="260"/>
      <c r="AF12" s="260"/>
      <c r="AG12" s="260"/>
      <c r="AH12" s="260"/>
      <c r="AI12" s="74"/>
      <c r="AJ12" s="74"/>
      <c r="AK12" s="260"/>
      <c r="AL12" s="260"/>
      <c r="AM12" s="260"/>
      <c r="AN12" s="260"/>
    </row>
    <row r="13" spans="2:40" ht="18.75" customHeight="1">
      <c r="B13" s="261" t="s">
        <v>0</v>
      </c>
      <c r="C13" s="208"/>
      <c r="D13" s="349">
        <f>'3. Backgrounder_InputForm'!$L$13</f>
        <v>0</v>
      </c>
      <c r="E13" s="312"/>
      <c r="F13" s="609"/>
      <c r="G13" s="310"/>
      <c r="H13" s="609"/>
      <c r="I13" s="313"/>
      <c r="J13" s="609"/>
      <c r="K13" s="314"/>
      <c r="L13" s="609"/>
      <c r="M13" s="309"/>
      <c r="N13" s="351"/>
      <c r="R13" s="316" t="str">
        <f>IF(D13+F13-H13-J13-L13&lt;&gt;0,"An error exists in inventory numbers, please fix.","Numbers reconcile, please proceed.")</f>
        <v>Numbers reconcile, please proceed.</v>
      </c>
      <c r="S13" s="73"/>
      <c r="U13" s="78"/>
      <c r="Z13"/>
      <c r="AB13" s="74"/>
      <c r="AG13"/>
      <c r="AH13"/>
      <c r="AI13" s="74"/>
      <c r="AJ13" s="74"/>
      <c r="AM13"/>
      <c r="AN13"/>
    </row>
    <row r="14" spans="2:40" ht="8.25" customHeight="1">
      <c r="B14" s="252"/>
      <c r="C14" s="207"/>
      <c r="D14" s="315"/>
      <c r="E14" s="315"/>
      <c r="F14" s="310"/>
      <c r="G14" s="310"/>
      <c r="H14" s="314"/>
      <c r="I14" s="314"/>
      <c r="J14" s="314"/>
      <c r="K14" s="314"/>
      <c r="L14" s="314"/>
      <c r="M14" s="309"/>
      <c r="N14" s="313"/>
      <c r="S14" s="73"/>
      <c r="T14" s="73"/>
      <c r="U14" s="78"/>
      <c r="Z14"/>
      <c r="AB14" s="74"/>
      <c r="AG14"/>
      <c r="AH14"/>
      <c r="AI14" s="74"/>
      <c r="AJ14" s="74"/>
      <c r="AM14"/>
      <c r="AN14"/>
    </row>
    <row r="15" spans="2:40" ht="19.5" customHeight="1">
      <c r="B15" s="261" t="s">
        <v>307</v>
      </c>
      <c r="C15" s="207"/>
      <c r="D15" s="322">
        <f>'3. Backgrounder_InputForm'!$L$15</f>
        <v>0</v>
      </c>
      <c r="E15" s="315"/>
      <c r="F15" s="310"/>
      <c r="G15" s="310"/>
      <c r="H15" s="314"/>
      <c r="I15" s="314"/>
      <c r="J15" s="313"/>
      <c r="K15" s="314"/>
      <c r="L15" s="638"/>
      <c r="M15" s="309"/>
      <c r="N15" s="352"/>
      <c r="S15" s="73"/>
      <c r="T15" s="73"/>
      <c r="U15" s="78"/>
      <c r="Z15"/>
      <c r="AB15" s="74"/>
      <c r="AG15"/>
      <c r="AH15"/>
      <c r="AI15" s="74"/>
      <c r="AJ15" s="74"/>
      <c r="AM15"/>
      <c r="AN15"/>
    </row>
    <row r="16" spans="2:40" ht="8.25" customHeight="1">
      <c r="B16" s="252"/>
      <c r="C16" s="207"/>
      <c r="D16" s="315"/>
      <c r="E16" s="315"/>
      <c r="F16" s="310"/>
      <c r="G16" s="310"/>
      <c r="H16" s="314"/>
      <c r="I16" s="314"/>
      <c r="J16" s="314"/>
      <c r="K16" s="314"/>
      <c r="L16" s="314"/>
      <c r="M16" s="309"/>
      <c r="N16" s="313"/>
      <c r="S16" s="73"/>
      <c r="T16" s="73"/>
      <c r="U16" s="78"/>
      <c r="Z16"/>
      <c r="AB16" s="74"/>
      <c r="AG16"/>
      <c r="AH16"/>
      <c r="AI16" s="74"/>
      <c r="AJ16" s="74"/>
      <c r="AM16"/>
      <c r="AN16"/>
    </row>
    <row r="17" spans="2:40" ht="22.5" customHeight="1">
      <c r="B17" s="261" t="s">
        <v>296</v>
      </c>
      <c r="C17" s="208"/>
      <c r="D17" s="353">
        <f>'3. Backgrounder_InputForm'!$L$17*D15</f>
        <v>0</v>
      </c>
      <c r="E17" s="337"/>
      <c r="F17" s="338"/>
      <c r="G17" s="339"/>
      <c r="H17" s="338"/>
      <c r="I17" s="339"/>
      <c r="J17" s="338"/>
      <c r="K17" s="340"/>
      <c r="L17" s="640"/>
      <c r="N17" s="352"/>
      <c r="S17" s="73"/>
      <c r="T17" s="73"/>
      <c r="U17" s="78"/>
      <c r="Z17"/>
      <c r="AB17" s="74"/>
      <c r="AG17"/>
      <c r="AH17"/>
      <c r="AI17" s="74"/>
      <c r="AJ17" s="74"/>
      <c r="AM17"/>
      <c r="AN17"/>
    </row>
    <row r="18" spans="2:40" ht="19.5" customHeight="1">
      <c r="B18" s="261"/>
      <c r="C18" s="208"/>
      <c r="D18" s="214"/>
      <c r="E18" s="209"/>
      <c r="F18" s="214"/>
      <c r="G18" s="210"/>
      <c r="H18" s="263"/>
      <c r="I18" s="210"/>
      <c r="J18" s="214"/>
      <c r="K18" s="211"/>
      <c r="L18" s="214"/>
      <c r="M18" s="212"/>
      <c r="N18" s="214"/>
      <c r="S18" s="73"/>
      <c r="T18" s="73"/>
      <c r="U18" s="78"/>
      <c r="Z18"/>
      <c r="AB18" s="74"/>
      <c r="AG18"/>
      <c r="AH18"/>
      <c r="AI18" s="74"/>
      <c r="AJ18" s="74"/>
      <c r="AM18"/>
      <c r="AN18"/>
    </row>
    <row r="19" spans="2:40" s="80" customFormat="1" ht="36.75" customHeight="1">
      <c r="D19" s="79"/>
      <c r="E19" s="79"/>
      <c r="F19" s="79"/>
      <c r="G19" s="79"/>
      <c r="H19" s="79"/>
      <c r="I19" s="79"/>
      <c r="J19" s="79"/>
      <c r="K19" s="79"/>
    </row>
    <row r="20" spans="2:40" s="80" customFormat="1" ht="21" customHeight="1">
      <c r="B20" s="266" t="s">
        <v>490</v>
      </c>
      <c r="D20" s="354">
        <f>'3. Backgrounder_InputForm'!$D$22</f>
        <v>0</v>
      </c>
      <c r="E20" s="288"/>
      <c r="F20" s="219" t="s">
        <v>319</v>
      </c>
      <c r="G20" s="79"/>
      <c r="I20" s="79"/>
      <c r="J20" s="79"/>
      <c r="K20" s="79"/>
    </row>
    <row r="21" spans="2:40" s="80" customFormat="1" ht="6" customHeight="1">
      <c r="D21" s="288"/>
      <c r="E21" s="288"/>
      <c r="F21" s="79"/>
      <c r="G21" s="79"/>
      <c r="I21" s="79"/>
      <c r="J21" s="79"/>
      <c r="K21" s="79"/>
    </row>
    <row r="22" spans="2:40" s="80" customFormat="1" ht="21" customHeight="1">
      <c r="B22" s="266" t="s">
        <v>487</v>
      </c>
      <c r="D22" s="642"/>
      <c r="E22" s="288"/>
      <c r="F22" s="219" t="s">
        <v>320</v>
      </c>
      <c r="G22" s="79"/>
      <c r="I22" s="79"/>
      <c r="J22" s="79"/>
      <c r="K22" s="79"/>
    </row>
    <row r="23" spans="2:40" s="80" customFormat="1" ht="6" customHeight="1">
      <c r="D23" s="288"/>
      <c r="E23" s="288"/>
      <c r="F23" s="79"/>
      <c r="G23" s="79"/>
      <c r="I23" s="79"/>
      <c r="J23" s="79"/>
      <c r="K23" s="79"/>
    </row>
    <row r="24" spans="2:40" s="80" customFormat="1" ht="19.5" customHeight="1">
      <c r="B24" s="221"/>
      <c r="D24" s="222"/>
      <c r="E24" s="79"/>
      <c r="F24" s="222"/>
      <c r="G24" s="79"/>
      <c r="H24" s="79"/>
      <c r="I24" s="79"/>
      <c r="J24" s="79"/>
      <c r="K24" s="79"/>
    </row>
    <row r="25" spans="2:40" s="80" customFormat="1" ht="19.5" customHeight="1">
      <c r="D25" s="79"/>
      <c r="E25" s="79"/>
      <c r="F25" s="79"/>
      <c r="G25" s="79"/>
      <c r="H25" s="79"/>
      <c r="I25" s="79"/>
      <c r="J25" s="79"/>
      <c r="K25" s="79"/>
      <c r="M25" s="174"/>
      <c r="N25" s="85"/>
      <c r="O25" s="84"/>
      <c r="P25" s="187"/>
      <c r="R25" s="79"/>
      <c r="S25" s="83"/>
    </row>
    <row r="26" spans="2:40" s="80" customFormat="1" ht="19.5" customHeight="1">
      <c r="D26" s="79"/>
      <c r="E26" s="79"/>
      <c r="F26" s="79"/>
      <c r="G26" s="79"/>
      <c r="H26" s="79"/>
      <c r="I26" s="79"/>
      <c r="J26" s="79"/>
      <c r="K26" s="79"/>
      <c r="M26" s="174"/>
      <c r="N26" s="85"/>
      <c r="O26" s="84"/>
      <c r="P26" s="187"/>
      <c r="R26" s="79"/>
      <c r="S26" s="83"/>
    </row>
    <row r="27" spans="2:40" s="80" customFormat="1" ht="19.5" customHeight="1">
      <c r="D27" s="79"/>
      <c r="E27" s="79"/>
      <c r="F27" s="79"/>
      <c r="G27" s="79"/>
      <c r="H27" s="79"/>
      <c r="I27" s="79"/>
      <c r="J27" s="79"/>
      <c r="K27" s="79"/>
      <c r="M27" s="174"/>
      <c r="N27" s="85"/>
      <c r="O27" s="84"/>
      <c r="P27" s="187"/>
      <c r="R27" s="79"/>
      <c r="S27" s="83"/>
    </row>
    <row r="28" spans="2:40" s="80" customFormat="1" ht="30" customHeight="1">
      <c r="B28" s="224" t="s">
        <v>322</v>
      </c>
      <c r="D28" s="259" t="s">
        <v>47</v>
      </c>
      <c r="F28" s="348" t="s">
        <v>0</v>
      </c>
      <c r="G28" s="79"/>
      <c r="H28" s="273" t="s">
        <v>269</v>
      </c>
      <c r="J28" s="273" t="s">
        <v>280</v>
      </c>
      <c r="K28" s="79"/>
      <c r="L28" s="318" t="str">
        <f>IF(J30&gt;0,"Avg $/hd","")</f>
        <v/>
      </c>
      <c r="M28" s="281"/>
      <c r="N28" s="85"/>
      <c r="O28" s="84"/>
      <c r="P28" s="282"/>
      <c r="R28" s="79"/>
      <c r="S28" s="83"/>
    </row>
    <row r="29" spans="2:40" s="80" customFormat="1" ht="6" customHeight="1">
      <c r="B29" s="225"/>
      <c r="F29" s="218"/>
      <c r="G29" s="79"/>
      <c r="H29" s="218"/>
      <c r="J29" s="218"/>
      <c r="K29" s="79"/>
      <c r="L29" s="318"/>
      <c r="M29" s="174"/>
      <c r="N29" s="85"/>
      <c r="O29" s="84"/>
      <c r="P29" s="187"/>
      <c r="R29" s="79"/>
      <c r="S29" s="83"/>
    </row>
    <row r="30" spans="2:40" s="80" customFormat="1" ht="19.5" customHeight="1">
      <c r="B30" s="268" t="s">
        <v>321</v>
      </c>
      <c r="D30" s="647"/>
      <c r="F30" s="320">
        <f>F13</f>
        <v>0</v>
      </c>
      <c r="G30" s="79"/>
      <c r="H30" s="226"/>
      <c r="J30" s="227"/>
      <c r="K30" s="79"/>
      <c r="L30" s="319" t="str">
        <f>IF(F30&gt;0,J30/F30,"")</f>
        <v/>
      </c>
      <c r="M30" s="174"/>
      <c r="N30" s="85"/>
      <c r="O30" s="84"/>
      <c r="P30" s="187"/>
      <c r="R30" s="79"/>
      <c r="S30" s="83"/>
    </row>
    <row r="31" spans="2:40" s="80" customFormat="1" ht="9.75" customHeight="1">
      <c r="B31" s="268"/>
      <c r="D31" s="345"/>
      <c r="F31" s="363"/>
      <c r="G31" s="79"/>
      <c r="H31" s="346"/>
      <c r="J31" s="362"/>
      <c r="K31" s="79"/>
      <c r="L31" s="319"/>
      <c r="M31" s="174"/>
      <c r="N31" s="85"/>
      <c r="O31" s="84"/>
      <c r="P31" s="187"/>
      <c r="R31" s="79"/>
      <c r="S31" s="83"/>
    </row>
    <row r="32" spans="2:40" s="80" customFormat="1" ht="41.25" customHeight="1">
      <c r="B32" s="224" t="s">
        <v>276</v>
      </c>
      <c r="D32" s="259" t="s">
        <v>482</v>
      </c>
      <c r="F32" s="348" t="s">
        <v>0</v>
      </c>
      <c r="G32" s="79"/>
      <c r="H32" s="273" t="s">
        <v>269</v>
      </c>
      <c r="I32" s="79"/>
      <c r="J32" s="273" t="s">
        <v>275</v>
      </c>
      <c r="K32" s="79"/>
      <c r="L32" s="318" t="str">
        <f>IF(J13&gt;0,"Avg $/hd","")</f>
        <v/>
      </c>
      <c r="M32" s="281"/>
      <c r="N32" s="85"/>
      <c r="O32" s="84"/>
      <c r="P32" s="282"/>
      <c r="R32" s="79"/>
      <c r="S32" s="83"/>
    </row>
    <row r="33" spans="2:40" s="80" customFormat="1" ht="6" customHeight="1">
      <c r="B33" s="223"/>
      <c r="F33" s="218"/>
      <c r="G33" s="79"/>
      <c r="H33" s="218"/>
      <c r="I33" s="79"/>
      <c r="J33" s="273"/>
      <c r="K33" s="79"/>
      <c r="L33" s="318"/>
      <c r="M33" s="174"/>
      <c r="N33" s="85"/>
      <c r="O33" s="84"/>
      <c r="P33" s="187"/>
      <c r="R33" s="79"/>
      <c r="S33" s="83"/>
    </row>
    <row r="34" spans="2:40" s="80" customFormat="1" ht="19.5" customHeight="1">
      <c r="B34" s="267" t="s">
        <v>321</v>
      </c>
      <c r="D34" s="646"/>
      <c r="F34" s="643"/>
      <c r="G34" s="286"/>
      <c r="H34" s="226"/>
      <c r="I34" s="286"/>
      <c r="J34" s="229"/>
      <c r="K34" s="79"/>
      <c r="L34" s="319" t="str">
        <f>IF(F34&gt;0,J34/F34,"")</f>
        <v/>
      </c>
      <c r="M34" s="174"/>
      <c r="N34" s="85"/>
      <c r="O34" s="84"/>
      <c r="P34" s="187"/>
      <c r="R34" s="79"/>
      <c r="S34" s="83"/>
    </row>
    <row r="35" spans="2:40" s="80" customFormat="1" ht="7.5" customHeight="1">
      <c r="B35" s="267"/>
      <c r="D35" s="345"/>
      <c r="F35" s="344"/>
      <c r="G35" s="286"/>
      <c r="H35" s="346"/>
      <c r="I35" s="286"/>
      <c r="J35" s="347"/>
      <c r="K35" s="79"/>
      <c r="L35" s="319"/>
      <c r="M35" s="174"/>
      <c r="N35" s="85"/>
      <c r="O35" s="84"/>
      <c r="P35" s="187"/>
      <c r="R35" s="79"/>
      <c r="S35" s="83"/>
    </row>
    <row r="36" spans="2:40" s="80" customFormat="1" ht="19.5" customHeight="1">
      <c r="B36" s="267" t="s">
        <v>321</v>
      </c>
      <c r="D36" s="646"/>
      <c r="F36" s="643"/>
      <c r="G36" s="286"/>
      <c r="H36" s="226"/>
      <c r="I36" s="286"/>
      <c r="J36" s="229"/>
      <c r="K36" s="79"/>
      <c r="L36" s="319" t="str">
        <f>IF(F36&gt;0,J36/F36,"")</f>
        <v/>
      </c>
      <c r="M36" s="174"/>
      <c r="N36" s="85"/>
      <c r="O36" s="84"/>
      <c r="P36" s="187"/>
      <c r="R36" s="79"/>
      <c r="S36" s="83"/>
    </row>
    <row r="37" spans="2:40" s="80" customFormat="1" ht="6.75" customHeight="1">
      <c r="F37" s="228"/>
      <c r="G37" s="286"/>
      <c r="H37" s="228"/>
      <c r="I37" s="286"/>
      <c r="J37" s="230"/>
      <c r="K37" s="79"/>
      <c r="L37" s="318"/>
      <c r="M37" s="174"/>
      <c r="N37" s="85"/>
      <c r="O37" s="84"/>
      <c r="P37" s="187"/>
      <c r="R37" s="79"/>
      <c r="S37" s="83"/>
    </row>
    <row r="38" spans="2:40" s="80" customFormat="1" ht="19.5" customHeight="1">
      <c r="B38" s="267" t="s">
        <v>321</v>
      </c>
      <c r="D38" s="646"/>
      <c r="F38" s="643"/>
      <c r="G38" s="286"/>
      <c r="H38" s="226"/>
      <c r="I38" s="286"/>
      <c r="J38" s="229"/>
      <c r="K38" s="79"/>
      <c r="L38" s="319" t="str">
        <f>IF(F38&gt;0,J38/F38,"")</f>
        <v/>
      </c>
      <c r="M38" s="174"/>
      <c r="N38" s="85"/>
      <c r="O38" s="84"/>
      <c r="P38" s="187"/>
      <c r="R38" s="79"/>
      <c r="S38" s="83"/>
    </row>
    <row r="39" spans="2:40" s="80" customFormat="1" ht="23.25" customHeight="1">
      <c r="D39" s="228"/>
      <c r="E39" s="286"/>
      <c r="F39" s="228"/>
      <c r="G39" s="286"/>
      <c r="H39" s="230"/>
      <c r="I39" s="79"/>
      <c r="J39" s="79"/>
      <c r="K39" s="79"/>
      <c r="M39" s="174"/>
      <c r="N39" s="85"/>
      <c r="O39" s="84"/>
      <c r="P39" s="187"/>
      <c r="R39" s="79"/>
      <c r="S39" s="83"/>
    </row>
    <row r="40" spans="2:40" s="80" customFormat="1" ht="19.5" customHeight="1">
      <c r="D40" s="79"/>
      <c r="E40" s="79"/>
      <c r="F40" s="79"/>
      <c r="G40" s="79"/>
      <c r="H40" s="79"/>
      <c r="I40" s="79"/>
      <c r="J40" s="79"/>
      <c r="K40" s="79"/>
      <c r="M40" s="174"/>
      <c r="N40" s="85"/>
      <c r="O40" s="84"/>
      <c r="P40" s="187"/>
      <c r="R40" s="79"/>
      <c r="S40" s="83"/>
    </row>
    <row r="41" spans="2:40" s="80" customFormat="1" ht="19.5" customHeight="1">
      <c r="D41" s="79"/>
      <c r="E41" s="79"/>
      <c r="F41" s="79"/>
      <c r="G41" s="79"/>
      <c r="H41" s="79"/>
      <c r="I41" s="79"/>
      <c r="J41" s="79"/>
      <c r="K41" s="79"/>
      <c r="M41" s="174"/>
      <c r="N41" s="85"/>
      <c r="O41" s="84"/>
      <c r="P41" s="187"/>
      <c r="R41" s="79"/>
      <c r="S41" s="83"/>
    </row>
    <row r="42" spans="2:40" s="64" customFormat="1" ht="16.5" customHeight="1">
      <c r="B42" s="74"/>
      <c r="H42" s="74"/>
    </row>
    <row r="43" spans="2:40" s="64" customFormat="1" ht="24" customHeight="1">
      <c r="B43" s="857" t="s">
        <v>287</v>
      </c>
      <c r="C43" s="857"/>
      <c r="D43" s="857"/>
      <c r="E43" s="857"/>
      <c r="F43" s="857"/>
      <c r="G43" s="857"/>
      <c r="H43" s="857"/>
      <c r="I43" s="236"/>
      <c r="J43" s="74"/>
      <c r="K43" s="74"/>
      <c r="L43" s="859" t="s">
        <v>288</v>
      </c>
      <c r="M43" s="859"/>
      <c r="N43" s="859"/>
      <c r="O43" s="859"/>
      <c r="P43" s="859"/>
      <c r="Q43" s="859"/>
      <c r="R43" s="859"/>
      <c r="S43" s="78"/>
      <c r="T43"/>
    </row>
    <row r="44" spans="2:40" s="64" customFormat="1" ht="22.5" customHeight="1">
      <c r="B44" s="247" t="s">
        <v>290</v>
      </c>
      <c r="C44" s="238"/>
      <c r="D44" s="237" t="s">
        <v>159</v>
      </c>
      <c r="E44" s="858" t="s">
        <v>0</v>
      </c>
      <c r="F44" s="858"/>
      <c r="G44" s="858"/>
      <c r="H44" s="237" t="s">
        <v>289</v>
      </c>
      <c r="I44" s="233"/>
      <c r="L44" s="248" t="s">
        <v>290</v>
      </c>
      <c r="M44" s="248"/>
      <c r="N44" s="248"/>
      <c r="O44" s="237"/>
      <c r="P44" s="236" t="s">
        <v>159</v>
      </c>
      <c r="Q44" s="236"/>
      <c r="R44" s="236" t="s">
        <v>0</v>
      </c>
      <c r="S44" s="88"/>
      <c r="T44" s="237" t="s">
        <v>278</v>
      </c>
    </row>
    <row r="45" spans="2:40" customFormat="1" ht="22.5" customHeight="1">
      <c r="B45" s="175"/>
      <c r="C45" s="232"/>
      <c r="D45" s="242"/>
      <c r="E45" s="240"/>
      <c r="F45" s="242"/>
      <c r="G45" s="240"/>
      <c r="H45" s="280"/>
      <c r="I45" s="233"/>
      <c r="J45" s="74"/>
      <c r="K45" s="74"/>
      <c r="L45" s="888"/>
      <c r="M45" s="889"/>
      <c r="N45" s="890"/>
      <c r="O45" s="244"/>
      <c r="P45" s="188"/>
      <c r="Q45" s="244"/>
      <c r="R45" s="245"/>
      <c r="S45" s="78"/>
      <c r="T45" s="242"/>
      <c r="Z45" s="74"/>
      <c r="AG45" s="74"/>
      <c r="AH45" s="74"/>
      <c r="AM45" s="74"/>
      <c r="AN45" s="74"/>
    </row>
    <row r="46" spans="2:40" customFormat="1" ht="27.75" customHeight="1">
      <c r="B46" s="173"/>
      <c r="C46" s="233"/>
      <c r="D46" s="242"/>
      <c r="E46" s="240"/>
      <c r="F46" s="242"/>
      <c r="G46" s="240"/>
      <c r="H46" s="280"/>
      <c r="I46" s="233"/>
      <c r="J46" s="74"/>
      <c r="K46" s="74"/>
      <c r="L46" s="888"/>
      <c r="M46" s="889"/>
      <c r="N46" s="890"/>
      <c r="O46" s="241"/>
      <c r="P46" s="243"/>
      <c r="Q46" s="241"/>
      <c r="R46" s="364"/>
      <c r="S46" s="78"/>
      <c r="T46" s="242"/>
      <c r="Z46" s="74"/>
      <c r="AG46" s="74"/>
      <c r="AH46" s="74"/>
      <c r="AM46" s="74"/>
      <c r="AN46" s="74"/>
    </row>
    <row r="47" spans="2:40" customFormat="1" ht="27.75" customHeight="1">
      <c r="B47" s="177"/>
      <c r="C47" s="234"/>
      <c r="D47" s="243"/>
      <c r="E47" s="241"/>
      <c r="F47" s="243"/>
      <c r="G47" s="241"/>
      <c r="H47" s="243"/>
      <c r="I47" s="235"/>
      <c r="J47" s="74"/>
      <c r="K47" s="74"/>
      <c r="L47" s="891"/>
      <c r="M47" s="892"/>
      <c r="N47" s="893"/>
      <c r="O47" s="241"/>
      <c r="P47" s="243"/>
      <c r="Q47" s="241"/>
      <c r="R47" s="364"/>
      <c r="S47" s="78"/>
      <c r="T47" s="243"/>
      <c r="Z47" s="74"/>
      <c r="AG47" s="74"/>
      <c r="AH47" s="74"/>
      <c r="AM47" s="74"/>
      <c r="AN47" s="74"/>
    </row>
    <row r="48" spans="2:40" customFormat="1" ht="27.75" customHeight="1">
      <c r="B48" s="177"/>
      <c r="C48" s="234"/>
      <c r="D48" s="243"/>
      <c r="E48" s="241"/>
      <c r="F48" s="243"/>
      <c r="G48" s="241"/>
      <c r="H48" s="243"/>
      <c r="I48" s="235"/>
      <c r="J48" s="74"/>
      <c r="K48" s="74"/>
      <c r="L48" s="891"/>
      <c r="M48" s="892"/>
      <c r="N48" s="893"/>
      <c r="O48" s="241"/>
      <c r="P48" s="243"/>
      <c r="Q48" s="241"/>
      <c r="R48" s="364"/>
      <c r="S48" s="78"/>
      <c r="T48" s="243"/>
      <c r="Z48" s="74"/>
      <c r="AG48" s="74"/>
      <c r="AH48" s="74"/>
      <c r="AM48" s="74"/>
      <c r="AN48" s="74"/>
    </row>
    <row r="49" spans="2:40" customFormat="1" ht="27.75" customHeight="1">
      <c r="B49" s="634"/>
      <c r="C49" s="77"/>
      <c r="D49" s="364"/>
      <c r="E49" s="78"/>
      <c r="F49" s="364"/>
      <c r="G49" s="78"/>
      <c r="H49" s="635"/>
      <c r="I49" s="89"/>
      <c r="J49" s="74"/>
      <c r="K49" s="74"/>
      <c r="L49" s="894"/>
      <c r="M49" s="895"/>
      <c r="N49" s="896"/>
      <c r="O49" s="78"/>
      <c r="P49" s="364"/>
      <c r="Q49" s="89"/>
      <c r="R49" s="633"/>
      <c r="S49" s="78"/>
      <c r="T49" s="636"/>
      <c r="Z49" s="74"/>
      <c r="AG49" s="74"/>
      <c r="AH49" s="74"/>
      <c r="AM49" s="74"/>
      <c r="AN49" s="74"/>
    </row>
    <row r="50" spans="2:40" customFormat="1">
      <c r="B50" s="74"/>
      <c r="C50" s="74"/>
      <c r="D50" s="73"/>
      <c r="E50" s="73"/>
      <c r="F50" s="73"/>
      <c r="G50" s="73"/>
      <c r="H50" s="73"/>
      <c r="I50" s="73"/>
      <c r="J50" s="74"/>
      <c r="K50" s="73"/>
      <c r="L50" s="246" t="s">
        <v>292</v>
      </c>
      <c r="M50" s="73"/>
      <c r="N50" s="73"/>
      <c r="O50" s="73"/>
      <c r="P50" s="73"/>
      <c r="Q50" s="73"/>
      <c r="R50" s="73"/>
      <c r="S50" s="78"/>
      <c r="Z50" s="74"/>
      <c r="AG50" s="74"/>
      <c r="AH50" s="74"/>
      <c r="AM50" s="74"/>
      <c r="AN50" s="74"/>
    </row>
    <row r="51" spans="2:40" customFormat="1" ht="21" customHeight="1">
      <c r="B51" s="74"/>
      <c r="C51" s="74"/>
      <c r="D51" s="73"/>
      <c r="E51" s="73"/>
      <c r="F51" s="73"/>
      <c r="G51" s="73"/>
      <c r="H51" s="73"/>
      <c r="I51" s="73"/>
      <c r="J51" s="246"/>
      <c r="K51" s="73"/>
      <c r="L51" s="75"/>
      <c r="M51" s="73"/>
      <c r="N51" s="73"/>
      <c r="O51" s="73"/>
      <c r="P51" s="73"/>
      <c r="Q51" s="73"/>
      <c r="R51" s="73"/>
      <c r="S51" s="78"/>
      <c r="Z51" s="74"/>
      <c r="AG51" s="74"/>
      <c r="AH51" s="74"/>
      <c r="AM51" s="74"/>
      <c r="AN51" s="74"/>
    </row>
    <row r="52" spans="2:40">
      <c r="J52" s="246"/>
      <c r="K52" s="73"/>
      <c r="L52" s="75"/>
    </row>
    <row r="53" spans="2:40">
      <c r="B53" s="81"/>
      <c r="C53" s="81"/>
      <c r="D53" s="81"/>
      <c r="E53" s="81"/>
      <c r="F53" s="81"/>
      <c r="G53" s="81"/>
      <c r="H53" s="81"/>
      <c r="I53" s="81"/>
      <c r="J53" s="81"/>
      <c r="K53" s="81"/>
      <c r="L53" s="82"/>
      <c r="M53" s="64"/>
      <c r="N53"/>
      <c r="O53"/>
      <c r="P53"/>
      <c r="Q53"/>
      <c r="R53"/>
      <c r="S53" s="74"/>
    </row>
    <row r="54" spans="2:40">
      <c r="M54" s="75"/>
      <c r="N54"/>
      <c r="O54"/>
      <c r="P54"/>
      <c r="Q54"/>
      <c r="R54"/>
      <c r="S54" s="74"/>
      <c r="U54" s="75"/>
      <c r="V54" s="75"/>
    </row>
    <row r="55" spans="2:40">
      <c r="M55"/>
      <c r="N55" s="75"/>
      <c r="O55" s="75"/>
      <c r="P55" s="75"/>
      <c r="Q55" s="75"/>
      <c r="R55" s="75"/>
      <c r="S55" s="75"/>
      <c r="T55" s="75"/>
    </row>
    <row r="56" spans="2:40">
      <c r="M56"/>
      <c r="N56"/>
      <c r="O56"/>
      <c r="P56"/>
      <c r="Q56"/>
      <c r="R56"/>
      <c r="S56" s="74"/>
    </row>
    <row r="57" spans="2:40">
      <c r="M57"/>
      <c r="N57"/>
      <c r="O57"/>
      <c r="P57"/>
      <c r="Q57"/>
      <c r="R57"/>
      <c r="S57" s="74"/>
    </row>
    <row r="58" spans="2:40">
      <c r="M58"/>
      <c r="N58"/>
      <c r="O58"/>
      <c r="P58"/>
      <c r="Q58"/>
      <c r="R58"/>
      <c r="S58" s="74"/>
    </row>
    <row r="59" spans="2:40">
      <c r="M59"/>
      <c r="N59"/>
      <c r="O59"/>
      <c r="P59"/>
      <c r="Q59"/>
      <c r="R59"/>
      <c r="S59" s="74"/>
    </row>
    <row r="60" spans="2:40" customFormat="1">
      <c r="B60" s="74"/>
      <c r="C60" s="74"/>
      <c r="D60" s="73"/>
      <c r="E60" s="73"/>
      <c r="F60" s="73"/>
      <c r="G60" s="73"/>
      <c r="H60" s="73"/>
      <c r="I60" s="73"/>
      <c r="J60" s="74"/>
      <c r="K60" s="74"/>
      <c r="L60" s="74"/>
      <c r="S60" s="74"/>
      <c r="Z60" s="74"/>
      <c r="AG60" s="74"/>
      <c r="AH60" s="74"/>
      <c r="AM60" s="74"/>
      <c r="AN60" s="74"/>
    </row>
    <row r="61" spans="2:40" customFormat="1">
      <c r="B61" s="74"/>
      <c r="C61" s="74"/>
      <c r="D61" s="73"/>
      <c r="E61" s="73"/>
      <c r="F61" s="73"/>
      <c r="G61" s="73"/>
      <c r="H61" s="73"/>
      <c r="I61" s="73"/>
      <c r="J61" s="74"/>
      <c r="K61" s="74"/>
      <c r="L61" s="74"/>
      <c r="M61" s="73"/>
      <c r="S61" s="74"/>
      <c r="Z61" s="74"/>
      <c r="AG61" s="74"/>
      <c r="AH61" s="74"/>
      <c r="AM61" s="74"/>
      <c r="AN61" s="74"/>
    </row>
  </sheetData>
  <sheetCalcPr fullCalcOnLoad="1"/>
  <sheetProtection sheet="1" objects="1" scenarios="1"/>
  <mergeCells count="8">
    <mergeCell ref="L48:N48"/>
    <mergeCell ref="L49:N49"/>
    <mergeCell ref="E44:G44"/>
    <mergeCell ref="B43:H43"/>
    <mergeCell ref="L43:R43"/>
    <mergeCell ref="L45:N45"/>
    <mergeCell ref="L46:N46"/>
    <mergeCell ref="L47:N47"/>
  </mergeCells>
  <phoneticPr fontId="116" type="noConversion"/>
  <pageMargins left="0.7" right="0.7" top="0.75" bottom="0.75" header="0.3" footer="0.3"/>
  <headerFooter>
    <oddFooter>&amp;L&amp;A&amp;C&amp;D&amp;R&amp;P of &amp;N</oddFooter>
  </headerFooter>
  <rowBreaks count="1" manualBreakCount="1">
    <brk id="23" max="19" man="1"/>
  </rowBreaks>
  <drawing r:id="rId1"/>
  <legacyDrawing r:id="rId2"/>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1:AN58"/>
  <sheetViews>
    <sheetView showGridLines="0" showRowColHeaders="0" workbookViewId="0">
      <selection activeCell="H12" sqref="H12"/>
    </sheetView>
  </sheetViews>
  <sheetFormatPr baseColWidth="10" defaultColWidth="8.83203125" defaultRowHeight="14"/>
  <cols>
    <col min="1" max="1" width="5" style="74" customWidth="1"/>
    <col min="2" max="2" width="29.6640625" style="74" customWidth="1"/>
    <col min="3" max="3" width="2.1640625" style="74" customWidth="1"/>
    <col min="4" max="4" width="12.1640625" style="73" customWidth="1"/>
    <col min="5" max="5" width="2" style="73" customWidth="1"/>
    <col min="6" max="6" width="12.5" style="73" customWidth="1"/>
    <col min="7" max="7" width="2.33203125" style="73" customWidth="1"/>
    <col min="8" max="8" width="12.5" style="73" customWidth="1"/>
    <col min="9" max="9" width="1.6640625" style="73" customWidth="1"/>
    <col min="10" max="10" width="12.6640625" style="74" customWidth="1"/>
    <col min="11" max="11" width="1.6640625" style="74" customWidth="1"/>
    <col min="12" max="12" width="14.6640625" style="74" customWidth="1"/>
    <col min="13" max="13" width="1.6640625" style="73" customWidth="1"/>
    <col min="14" max="14" width="13.5" style="73" customWidth="1"/>
    <col min="15" max="15" width="1.5" style="73" customWidth="1"/>
    <col min="16" max="16" width="12.5" style="73" customWidth="1"/>
    <col min="17" max="17" width="1.83203125" style="73" customWidth="1"/>
    <col min="18" max="18" width="11.83203125" style="73" customWidth="1"/>
    <col min="19" max="19" width="1.5" style="78" customWidth="1"/>
    <col min="20" max="20" width="13.6640625" customWidth="1"/>
    <col min="26" max="26" width="3.5" style="74" customWidth="1"/>
    <col min="33" max="33" width="3.33203125" style="74" customWidth="1"/>
    <col min="34" max="34" width="9.33203125" style="74" customWidth="1"/>
    <col min="39" max="16384" width="8.83203125" style="74"/>
  </cols>
  <sheetData>
    <row r="1" spans="2:40" ht="57.75" customHeight="1"/>
    <row r="2" spans="2:40" ht="49.5" customHeight="1">
      <c r="B2" s="93" t="str">
        <f>IF('About My Ranch'!D11="X","The required data for the Finisher Enterprise will be entered in this tab.","You did not indicate in the 'About My Ranch' Tab that you have a Finisher Enterprise.")</f>
        <v>You did not indicate in the 'About My Ranch' Tab that you have a Finisher Enterprise.</v>
      </c>
      <c r="C2" s="93"/>
    </row>
    <row r="3" spans="2:40" ht="24" customHeight="1">
      <c r="D3" s="206"/>
      <c r="E3" s="206"/>
      <c r="F3" s="205"/>
      <c r="G3" s="205"/>
      <c r="H3" s="216"/>
      <c r="I3" s="204"/>
    </row>
    <row r="4" spans="2:40" ht="21.75" customHeight="1">
      <c r="D4" s="206"/>
      <c r="E4" s="206"/>
      <c r="F4" s="205"/>
      <c r="G4" s="205"/>
      <c r="H4" s="216"/>
      <c r="I4" s="204"/>
    </row>
    <row r="5" spans="2:40" ht="33.75" customHeight="1">
      <c r="D5" s="206"/>
      <c r="E5" s="206"/>
      <c r="F5" s="205"/>
      <c r="G5" s="205"/>
      <c r="H5" s="216"/>
      <c r="I5" s="204"/>
    </row>
    <row r="6" spans="2:40" ht="33.75" customHeight="1">
      <c r="D6" s="206"/>
      <c r="E6" s="206"/>
      <c r="F6" s="205"/>
      <c r="G6" s="205"/>
      <c r="H6" s="216"/>
      <c r="I6" s="204"/>
    </row>
    <row r="7" spans="2:40" ht="33.75" customHeight="1">
      <c r="D7" s="206"/>
      <c r="E7" s="206"/>
      <c r="F7" s="205"/>
      <c r="G7" s="205"/>
      <c r="H7" s="216"/>
      <c r="I7" s="204"/>
    </row>
    <row r="8" spans="2:40" ht="33.75" customHeight="1">
      <c r="D8" s="206"/>
      <c r="E8" s="206"/>
      <c r="F8" s="205"/>
      <c r="G8" s="205"/>
      <c r="H8" s="216"/>
      <c r="I8" s="204"/>
    </row>
    <row r="9" spans="2:40" ht="24.75" customHeight="1">
      <c r="D9" s="206"/>
      <c r="E9" s="206"/>
      <c r="F9" s="205"/>
      <c r="G9" s="205"/>
      <c r="H9" s="216"/>
      <c r="I9" s="204"/>
    </row>
    <row r="10" spans="2:40" ht="11.25" customHeight="1">
      <c r="D10" s="206"/>
      <c r="E10" s="206"/>
      <c r="F10" s="205"/>
      <c r="G10" s="205"/>
      <c r="H10" s="216"/>
      <c r="I10" s="204"/>
    </row>
    <row r="11" spans="2:40" ht="39" customHeight="1">
      <c r="B11" s="252"/>
      <c r="C11" s="252"/>
      <c r="D11" s="302" t="s">
        <v>323</v>
      </c>
      <c r="E11" s="303"/>
      <c r="F11" s="302" t="s">
        <v>324</v>
      </c>
      <c r="H11" s="299" t="s">
        <v>408</v>
      </c>
      <c r="I11" s="299"/>
      <c r="J11" s="300" t="s">
        <v>50</v>
      </c>
      <c r="K11" s="299"/>
      <c r="L11" s="301" t="s">
        <v>409</v>
      </c>
      <c r="M11" s="304"/>
      <c r="N11" s="350"/>
      <c r="Q11" s="307"/>
      <c r="R11" s="306" t="s">
        <v>46</v>
      </c>
      <c r="S11" s="73"/>
      <c r="U11" s="78"/>
      <c r="V11" s="260"/>
      <c r="W11" s="260"/>
      <c r="X11" s="260"/>
      <c r="Y11" s="260"/>
      <c r="Z11" s="260"/>
      <c r="AA11" s="260"/>
      <c r="AB11" s="74"/>
      <c r="AC11" s="260"/>
      <c r="AD11" s="260"/>
      <c r="AE11" s="260"/>
      <c r="AF11" s="260"/>
      <c r="AG11" s="260"/>
      <c r="AH11" s="260"/>
      <c r="AI11" s="74"/>
      <c r="AJ11" s="74"/>
      <c r="AK11" s="260"/>
      <c r="AL11" s="260"/>
      <c r="AM11" s="260"/>
      <c r="AN11" s="260"/>
    </row>
    <row r="12" spans="2:40" ht="18.75" customHeight="1">
      <c r="B12" s="261" t="s">
        <v>0</v>
      </c>
      <c r="C12" s="208"/>
      <c r="D12" s="349">
        <f>'3. Backgrounder_InputForm'!$L$13</f>
        <v>0</v>
      </c>
      <c r="E12" s="312"/>
      <c r="F12" s="349">
        <f>'4. Grasser_InputForm'!L13</f>
        <v>0</v>
      </c>
      <c r="H12" s="609"/>
      <c r="I12" s="310"/>
      <c r="J12" s="609"/>
      <c r="K12" s="313"/>
      <c r="L12" s="609"/>
      <c r="M12" s="314"/>
      <c r="N12" s="313"/>
      <c r="R12" s="316" t="str">
        <f>IF(D12+F12+H12-J12-L12&lt;&gt;0,"An error exists in inventory numbers, please fix.","Numbers reconcile, please proceed.")</f>
        <v>Numbers reconcile, please proceed.</v>
      </c>
      <c r="S12" s="73"/>
      <c r="U12" s="78"/>
      <c r="Z12"/>
      <c r="AB12" s="74"/>
      <c r="AG12"/>
      <c r="AH12"/>
      <c r="AI12" s="74"/>
      <c r="AJ12" s="74"/>
      <c r="AM12"/>
      <c r="AN12"/>
    </row>
    <row r="13" spans="2:40" ht="8.25" customHeight="1">
      <c r="B13" s="252"/>
      <c r="C13" s="207"/>
      <c r="D13" s="315"/>
      <c r="E13" s="315"/>
      <c r="F13" s="315"/>
      <c r="H13" s="310"/>
      <c r="I13" s="310"/>
      <c r="J13" s="314"/>
      <c r="K13" s="314"/>
      <c r="L13" s="314"/>
      <c r="M13" s="314"/>
      <c r="N13" s="313"/>
      <c r="S13" s="73"/>
      <c r="T13" s="73"/>
      <c r="U13" s="78"/>
      <c r="Z13"/>
      <c r="AB13" s="74"/>
      <c r="AG13"/>
      <c r="AH13"/>
      <c r="AI13" s="74"/>
      <c r="AJ13" s="74"/>
      <c r="AM13"/>
      <c r="AN13"/>
    </row>
    <row r="14" spans="2:40" ht="19.5" customHeight="1">
      <c r="B14" s="261" t="s">
        <v>307</v>
      </c>
      <c r="C14" s="207"/>
      <c r="D14" s="322">
        <f>'3. Backgrounder_InputForm'!$L$15</f>
        <v>0</v>
      </c>
      <c r="E14" s="315"/>
      <c r="F14" s="322">
        <f>'4. Grasser_InputForm'!L15</f>
        <v>0</v>
      </c>
      <c r="H14" s="310"/>
      <c r="I14" s="310"/>
      <c r="J14" s="314"/>
      <c r="K14" s="314"/>
      <c r="L14" s="313"/>
      <c r="M14" s="314"/>
      <c r="N14" s="313"/>
      <c r="S14" s="73"/>
      <c r="T14" s="73"/>
      <c r="U14" s="78"/>
      <c r="Z14"/>
      <c r="AB14" s="74"/>
      <c r="AG14"/>
      <c r="AH14"/>
      <c r="AI14" s="74"/>
      <c r="AJ14" s="74"/>
      <c r="AM14"/>
      <c r="AN14"/>
    </row>
    <row r="15" spans="2:40" ht="8.25" customHeight="1">
      <c r="B15" s="252"/>
      <c r="C15" s="207"/>
      <c r="D15" s="315"/>
      <c r="E15" s="315"/>
      <c r="F15" s="315"/>
      <c r="H15" s="310"/>
      <c r="I15" s="310"/>
      <c r="J15" s="314"/>
      <c r="K15" s="314"/>
      <c r="L15" s="314"/>
      <c r="M15" s="314"/>
      <c r="N15" s="313"/>
      <c r="S15" s="73"/>
      <c r="T15" s="73"/>
      <c r="U15" s="78"/>
      <c r="Z15"/>
      <c r="AB15" s="74"/>
      <c r="AG15"/>
      <c r="AH15"/>
      <c r="AI15" s="74"/>
      <c r="AJ15" s="74"/>
      <c r="AM15"/>
      <c r="AN15"/>
    </row>
    <row r="16" spans="2:40" ht="22.5" customHeight="1">
      <c r="B16" s="261" t="s">
        <v>296</v>
      </c>
      <c r="C16" s="208"/>
      <c r="D16" s="353">
        <f>'3. Backgrounder_InputForm'!$L$17*D14</f>
        <v>0</v>
      </c>
      <c r="E16" s="337"/>
      <c r="F16" s="353">
        <f>'4. Grasser_InputForm'!L17</f>
        <v>0</v>
      </c>
      <c r="H16" s="338"/>
      <c r="I16" s="339"/>
      <c r="J16" s="338"/>
      <c r="K16" s="339"/>
      <c r="L16" s="338"/>
      <c r="M16" s="340"/>
      <c r="N16" s="361"/>
      <c r="S16" s="73"/>
      <c r="T16" s="73"/>
      <c r="U16" s="78"/>
      <c r="Z16"/>
      <c r="AB16" s="74"/>
      <c r="AG16"/>
      <c r="AH16"/>
      <c r="AI16" s="74"/>
      <c r="AJ16" s="74"/>
      <c r="AM16"/>
      <c r="AN16"/>
    </row>
    <row r="17" spans="2:40" ht="19.5" customHeight="1">
      <c r="B17" s="261"/>
      <c r="C17" s="208"/>
      <c r="D17" s="214"/>
      <c r="E17" s="209"/>
      <c r="F17" s="214"/>
      <c r="G17" s="210"/>
      <c r="H17" s="263"/>
      <c r="I17" s="210"/>
      <c r="J17" s="214"/>
      <c r="K17" s="211"/>
      <c r="L17" s="214"/>
      <c r="M17" s="212"/>
      <c r="N17" s="214"/>
      <c r="S17" s="73"/>
      <c r="T17" s="73"/>
      <c r="U17" s="78"/>
      <c r="Z17"/>
      <c r="AB17" s="74"/>
      <c r="AG17"/>
      <c r="AH17"/>
      <c r="AI17" s="74"/>
      <c r="AJ17" s="74"/>
      <c r="AM17"/>
      <c r="AN17"/>
    </row>
    <row r="18" spans="2:40" s="80" customFormat="1" ht="36.75" customHeight="1">
      <c r="D18" s="79"/>
      <c r="E18" s="79"/>
      <c r="F18" s="79"/>
      <c r="G18" s="79"/>
      <c r="H18" s="79"/>
      <c r="I18" s="79"/>
      <c r="J18" s="79"/>
      <c r="K18" s="79"/>
    </row>
    <row r="19" spans="2:40" s="80" customFormat="1" ht="21" customHeight="1">
      <c r="B19" s="266" t="s">
        <v>329</v>
      </c>
      <c r="D19" s="373">
        <f>'3. Backgrounder_InputForm'!D24</f>
        <v>0</v>
      </c>
      <c r="E19" s="288"/>
      <c r="F19" s="219" t="s">
        <v>327</v>
      </c>
      <c r="G19" s="79"/>
      <c r="I19" s="79"/>
      <c r="J19" s="79"/>
      <c r="K19" s="79"/>
    </row>
    <row r="20" spans="2:40" s="80" customFormat="1" ht="6" customHeight="1">
      <c r="D20" s="374"/>
      <c r="E20" s="288"/>
      <c r="F20" s="79"/>
      <c r="G20" s="79"/>
      <c r="I20" s="79"/>
      <c r="J20" s="79"/>
      <c r="K20" s="79"/>
    </row>
    <row r="21" spans="2:40" s="80" customFormat="1" ht="20.25" customHeight="1">
      <c r="B21" s="266" t="s">
        <v>330</v>
      </c>
      <c r="D21" s="373">
        <f>'4. Grasser_InputForm'!D22</f>
        <v>0</v>
      </c>
      <c r="E21" s="288"/>
      <c r="F21" s="219" t="s">
        <v>328</v>
      </c>
      <c r="G21" s="79"/>
      <c r="I21" s="79"/>
      <c r="J21" s="79"/>
      <c r="K21" s="79"/>
    </row>
    <row r="22" spans="2:40" s="80" customFormat="1" ht="27.75" customHeight="1">
      <c r="B22" s="221"/>
      <c r="D22" s="222"/>
      <c r="E22" s="79"/>
      <c r="F22" s="222"/>
      <c r="G22" s="79"/>
      <c r="H22" s="79"/>
      <c r="I22" s="79"/>
      <c r="J22" s="79"/>
      <c r="K22" s="79"/>
    </row>
    <row r="23" spans="2:40" s="80" customFormat="1" ht="19.5" customHeight="1">
      <c r="D23" s="79"/>
      <c r="E23" s="79"/>
      <c r="F23" s="79"/>
      <c r="G23" s="79"/>
      <c r="H23" s="79"/>
      <c r="I23" s="79"/>
      <c r="J23" s="79"/>
      <c r="K23" s="79"/>
      <c r="M23" s="174"/>
      <c r="N23" s="85"/>
      <c r="O23" s="84"/>
      <c r="P23" s="187"/>
      <c r="R23" s="79"/>
      <c r="S23" s="83"/>
    </row>
    <row r="24" spans="2:40" s="80" customFormat="1" ht="19.5" customHeight="1">
      <c r="D24" s="79"/>
      <c r="E24" s="79"/>
      <c r="F24" s="79"/>
      <c r="G24" s="79"/>
      <c r="H24" s="79"/>
      <c r="I24" s="79"/>
      <c r="J24" s="79"/>
      <c r="K24" s="79"/>
      <c r="M24" s="174"/>
      <c r="N24" s="85"/>
      <c r="O24" s="84"/>
      <c r="P24" s="187"/>
      <c r="R24" s="79"/>
      <c r="S24" s="83"/>
    </row>
    <row r="25" spans="2:40" s="80" customFormat="1" ht="35.25" customHeight="1">
      <c r="B25" s="356" t="s">
        <v>325</v>
      </c>
      <c r="D25" s="259" t="s">
        <v>47</v>
      </c>
      <c r="F25" s="348" t="s">
        <v>0</v>
      </c>
      <c r="G25" s="79"/>
      <c r="H25" s="273" t="s">
        <v>269</v>
      </c>
      <c r="J25" s="273" t="s">
        <v>280</v>
      </c>
      <c r="K25" s="79"/>
      <c r="L25" s="318" t="str">
        <f>IF(J27&gt;0,"Avg $/hd","")</f>
        <v/>
      </c>
      <c r="M25" s="281"/>
      <c r="N25" s="85"/>
      <c r="O25" s="84"/>
      <c r="P25" s="282"/>
      <c r="R25" s="79"/>
      <c r="S25" s="83"/>
    </row>
    <row r="26" spans="2:40" s="80" customFormat="1" ht="6" customHeight="1">
      <c r="B26" s="225"/>
      <c r="F26" s="218"/>
      <c r="G26" s="79"/>
      <c r="H26" s="218"/>
      <c r="J26" s="218"/>
      <c r="K26" s="79"/>
      <c r="L26" s="318"/>
      <c r="M26" s="174"/>
      <c r="N26" s="85"/>
      <c r="O26" s="84"/>
      <c r="P26" s="187"/>
      <c r="R26" s="79"/>
      <c r="S26" s="83"/>
    </row>
    <row r="27" spans="2:40" s="80" customFormat="1" ht="19.5" customHeight="1">
      <c r="B27" s="268" t="s">
        <v>481</v>
      </c>
      <c r="D27" s="651"/>
      <c r="F27" s="320">
        <f>H12</f>
        <v>0</v>
      </c>
      <c r="G27" s="79"/>
      <c r="H27" s="226"/>
      <c r="J27" s="227"/>
      <c r="K27" s="79"/>
      <c r="L27" s="319" t="str">
        <f>IF(F27&gt;0,J27/F27,"")</f>
        <v/>
      </c>
      <c r="M27" s="174"/>
      <c r="N27" s="85"/>
      <c r="O27" s="84"/>
      <c r="P27" s="187"/>
      <c r="R27" s="79"/>
      <c r="S27" s="83"/>
    </row>
    <row r="28" spans="2:40" s="80" customFormat="1" ht="10.5" customHeight="1">
      <c r="B28" s="268"/>
      <c r="D28" s="345"/>
      <c r="F28" s="363"/>
      <c r="G28" s="79"/>
      <c r="H28" s="346"/>
      <c r="J28" s="362"/>
      <c r="K28" s="79"/>
      <c r="L28" s="319"/>
      <c r="M28" s="174"/>
      <c r="N28" s="85"/>
      <c r="O28" s="84"/>
      <c r="P28" s="187"/>
      <c r="R28" s="79"/>
      <c r="S28" s="83"/>
    </row>
    <row r="29" spans="2:40" s="80" customFormat="1" ht="41.25" customHeight="1">
      <c r="B29" s="224" t="s">
        <v>276</v>
      </c>
      <c r="D29" s="259" t="s">
        <v>482</v>
      </c>
      <c r="F29" s="348" t="s">
        <v>0</v>
      </c>
      <c r="G29" s="79"/>
      <c r="H29" s="273" t="s">
        <v>269</v>
      </c>
      <c r="I29" s="79"/>
      <c r="J29" s="273" t="s">
        <v>275</v>
      </c>
      <c r="K29" s="79"/>
      <c r="L29" s="318" t="str">
        <f>IF(L12&gt;0,"Avg $/hd","")</f>
        <v/>
      </c>
      <c r="M29" s="281"/>
      <c r="N29" s="85"/>
      <c r="O29" s="84"/>
      <c r="P29" s="282"/>
      <c r="R29" s="79"/>
      <c r="S29" s="83"/>
    </row>
    <row r="30" spans="2:40" s="80" customFormat="1" ht="6" customHeight="1">
      <c r="B30" s="223"/>
      <c r="F30" s="218"/>
      <c r="G30" s="79"/>
      <c r="H30" s="218"/>
      <c r="I30" s="79"/>
      <c r="J30" s="273"/>
      <c r="K30" s="79"/>
      <c r="L30" s="318"/>
      <c r="M30" s="174"/>
      <c r="N30" s="85"/>
      <c r="O30" s="84"/>
      <c r="P30" s="187"/>
      <c r="R30" s="79"/>
      <c r="S30" s="83"/>
    </row>
    <row r="31" spans="2:40" s="80" customFormat="1" ht="19.5" customHeight="1">
      <c r="B31" s="267" t="s">
        <v>326</v>
      </c>
      <c r="D31" s="651"/>
      <c r="F31" s="643"/>
      <c r="G31" s="286"/>
      <c r="H31" s="226"/>
      <c r="I31" s="286"/>
      <c r="J31" s="644"/>
      <c r="K31" s="79"/>
      <c r="L31" s="319" t="str">
        <f>IF(F31&gt;0,J31/F31,"")</f>
        <v/>
      </c>
      <c r="M31" s="174"/>
      <c r="N31" s="85"/>
      <c r="O31" s="84"/>
      <c r="P31" s="187"/>
      <c r="R31" s="79"/>
      <c r="S31" s="83"/>
    </row>
    <row r="32" spans="2:40" s="80" customFormat="1" ht="7.5" customHeight="1">
      <c r="B32" s="267"/>
      <c r="D32" s="345"/>
      <c r="F32" s="344"/>
      <c r="G32" s="286"/>
      <c r="H32" s="346"/>
      <c r="I32" s="286"/>
      <c r="J32" s="347"/>
      <c r="K32" s="79"/>
      <c r="L32" s="319"/>
      <c r="M32" s="174"/>
      <c r="N32" s="85"/>
      <c r="O32" s="84"/>
      <c r="P32" s="187"/>
      <c r="R32" s="79"/>
      <c r="S32" s="83"/>
    </row>
    <row r="33" spans="2:40" s="80" customFormat="1" ht="19.5" customHeight="1">
      <c r="B33" s="267" t="s">
        <v>326</v>
      </c>
      <c r="D33" s="651"/>
      <c r="F33" s="643"/>
      <c r="G33" s="286"/>
      <c r="H33" s="226"/>
      <c r="I33" s="286"/>
      <c r="J33" s="644"/>
      <c r="K33" s="79"/>
      <c r="L33" s="319" t="str">
        <f>IF(F33&gt;0,J33/F33,"")</f>
        <v/>
      </c>
      <c r="M33" s="174"/>
      <c r="N33" s="85"/>
      <c r="O33" s="84"/>
      <c r="P33" s="187"/>
      <c r="R33" s="79"/>
      <c r="S33" s="83"/>
    </row>
    <row r="34" spans="2:40" s="80" customFormat="1" ht="6.75" customHeight="1">
      <c r="F34" s="228"/>
      <c r="G34" s="286"/>
      <c r="H34" s="228"/>
      <c r="I34" s="286"/>
      <c r="J34" s="230"/>
      <c r="K34" s="79"/>
      <c r="L34" s="318"/>
      <c r="M34" s="174"/>
      <c r="N34" s="85"/>
      <c r="O34" s="84"/>
      <c r="P34" s="187"/>
      <c r="R34" s="79"/>
      <c r="S34" s="83"/>
    </row>
    <row r="35" spans="2:40" s="80" customFormat="1" ht="19.5" customHeight="1">
      <c r="B35" s="267" t="s">
        <v>326</v>
      </c>
      <c r="D35" s="651"/>
      <c r="F35" s="643"/>
      <c r="G35" s="286"/>
      <c r="H35" s="226"/>
      <c r="I35" s="286"/>
      <c r="J35" s="644"/>
      <c r="K35" s="79"/>
      <c r="L35" s="319" t="str">
        <f>IF(F35&gt;0,J35/F35,"")</f>
        <v/>
      </c>
      <c r="M35" s="174"/>
      <c r="N35" s="85"/>
      <c r="O35" s="84"/>
      <c r="P35" s="187"/>
      <c r="R35" s="79"/>
      <c r="S35" s="83"/>
    </row>
    <row r="36" spans="2:40" s="80" customFormat="1" ht="23.25" customHeight="1">
      <c r="D36" s="228"/>
      <c r="E36" s="286"/>
      <c r="F36" s="228"/>
      <c r="G36" s="286"/>
      <c r="H36" s="230"/>
      <c r="I36" s="79"/>
      <c r="J36" s="79"/>
      <c r="K36" s="79"/>
      <c r="M36" s="174"/>
      <c r="N36" s="85"/>
      <c r="O36" s="84"/>
      <c r="P36" s="187"/>
      <c r="R36" s="79"/>
      <c r="S36" s="83"/>
    </row>
    <row r="37" spans="2:40" s="64" customFormat="1" ht="16.5" customHeight="1">
      <c r="B37" s="74"/>
      <c r="H37" s="74"/>
    </row>
    <row r="38" spans="2:40" s="64" customFormat="1" ht="39.75" customHeight="1">
      <c r="B38" s="270"/>
      <c r="C38" s="90"/>
      <c r="D38" s="86"/>
      <c r="E38" s="86"/>
      <c r="F38" s="86"/>
      <c r="G38" s="86"/>
      <c r="H38" s="276"/>
      <c r="I38" s="86"/>
      <c r="J38" s="86"/>
    </row>
    <row r="39" spans="2:40" s="64" customFormat="1" ht="17.25" customHeight="1">
      <c r="B39" s="74"/>
      <c r="D39" s="87"/>
      <c r="E39" s="87"/>
      <c r="F39" s="87"/>
      <c r="G39" s="87"/>
      <c r="H39" s="277"/>
      <c r="I39" s="87"/>
      <c r="J39" s="68"/>
      <c r="K39" s="94"/>
      <c r="L39" s="231"/>
    </row>
    <row r="40" spans="2:40" s="64" customFormat="1" ht="24" customHeight="1">
      <c r="B40" s="857" t="s">
        <v>284</v>
      </c>
      <c r="C40" s="857"/>
      <c r="D40" s="857"/>
      <c r="E40" s="857"/>
      <c r="F40" s="857"/>
      <c r="G40" s="239"/>
      <c r="H40" s="278"/>
      <c r="I40" s="357"/>
      <c r="J40" s="859" t="s">
        <v>285</v>
      </c>
      <c r="K40" s="859"/>
      <c r="L40" s="859"/>
      <c r="M40" s="859"/>
      <c r="N40" s="859"/>
      <c r="O40" s="859"/>
      <c r="P40" s="859"/>
    </row>
    <row r="41" spans="2:40" s="64" customFormat="1" ht="22.5" customHeight="1">
      <c r="B41" s="272" t="s">
        <v>485</v>
      </c>
      <c r="C41" s="238"/>
      <c r="D41" s="237" t="s">
        <v>282</v>
      </c>
      <c r="E41" s="858" t="s">
        <v>283</v>
      </c>
      <c r="F41" s="858"/>
      <c r="G41" s="858"/>
      <c r="H41" s="271"/>
      <c r="I41" s="233"/>
      <c r="J41" s="860" t="s">
        <v>485</v>
      </c>
      <c r="K41" s="860"/>
      <c r="L41" s="860"/>
      <c r="M41" s="237"/>
      <c r="N41" s="357" t="s">
        <v>282</v>
      </c>
      <c r="O41" s="357"/>
      <c r="P41" s="357" t="s">
        <v>286</v>
      </c>
    </row>
    <row r="42" spans="2:40" customFormat="1" ht="22.5" customHeight="1">
      <c r="B42" s="292" t="s">
        <v>142</v>
      </c>
      <c r="C42" s="232"/>
      <c r="D42" s="367"/>
      <c r="E42" s="240"/>
      <c r="F42" s="294"/>
      <c r="G42" s="240"/>
      <c r="H42" s="279"/>
      <c r="I42" s="233"/>
      <c r="J42" s="885"/>
      <c r="K42" s="885"/>
      <c r="L42" s="885"/>
      <c r="M42" s="244"/>
      <c r="N42" s="188"/>
      <c r="O42" s="244"/>
      <c r="P42" s="245"/>
      <c r="Q42" s="73"/>
      <c r="R42" s="73"/>
      <c r="S42" s="78"/>
      <c r="Z42" s="74"/>
      <c r="AG42" s="74"/>
      <c r="AH42" s="74"/>
      <c r="AM42" s="74"/>
      <c r="AN42" s="74"/>
    </row>
    <row r="43" spans="2:40" customFormat="1" ht="27.75" customHeight="1">
      <c r="B43" s="293" t="s">
        <v>291</v>
      </c>
      <c r="C43" s="233"/>
      <c r="D43" s="297"/>
      <c r="E43" s="240"/>
      <c r="F43" s="295"/>
      <c r="G43" s="240"/>
      <c r="H43" s="279"/>
      <c r="I43" s="233"/>
      <c r="J43" s="885"/>
      <c r="K43" s="885"/>
      <c r="L43" s="885"/>
      <c r="M43" s="241"/>
      <c r="N43" s="243"/>
      <c r="O43" s="241"/>
      <c r="P43" s="364"/>
      <c r="Q43" s="73"/>
      <c r="R43" s="73"/>
      <c r="S43" s="78"/>
      <c r="Z43" s="74"/>
      <c r="AG43" s="74"/>
      <c r="AH43" s="74"/>
      <c r="AM43" s="74"/>
      <c r="AN43" s="74"/>
    </row>
    <row r="44" spans="2:40" customFormat="1" ht="27.75" customHeight="1">
      <c r="B44" s="291"/>
      <c r="C44" s="234"/>
      <c r="D44" s="364"/>
      <c r="E44" s="241"/>
      <c r="F44" s="296"/>
      <c r="G44" s="241"/>
      <c r="H44" s="241"/>
      <c r="I44" s="235"/>
      <c r="J44" s="886"/>
      <c r="K44" s="886"/>
      <c r="L44" s="886"/>
      <c r="M44" s="241"/>
      <c r="N44" s="243"/>
      <c r="O44" s="241"/>
      <c r="P44" s="364"/>
      <c r="Q44" s="73"/>
      <c r="R44" s="73"/>
      <c r="S44" s="78"/>
      <c r="Z44" s="74"/>
      <c r="AG44" s="74"/>
      <c r="AH44" s="74"/>
      <c r="AM44" s="74"/>
      <c r="AN44" s="74"/>
    </row>
    <row r="45" spans="2:40" customFormat="1" ht="27.75" customHeight="1">
      <c r="B45" s="291"/>
      <c r="C45" s="234"/>
      <c r="D45" s="364"/>
      <c r="E45" s="241"/>
      <c r="F45" s="296"/>
      <c r="G45" s="241"/>
      <c r="H45" s="241"/>
      <c r="I45" s="235"/>
      <c r="J45" s="886"/>
      <c r="K45" s="886"/>
      <c r="L45" s="886"/>
      <c r="M45" s="241"/>
      <c r="N45" s="243"/>
      <c r="O45" s="241"/>
      <c r="P45" s="364"/>
      <c r="Q45" s="73"/>
      <c r="R45" s="73"/>
      <c r="S45" s="78"/>
      <c r="Z45" s="74"/>
      <c r="AG45" s="74"/>
      <c r="AH45" s="74"/>
      <c r="AM45" s="74"/>
      <c r="AN45" s="74"/>
    </row>
    <row r="46" spans="2:40" customFormat="1" ht="27.75" customHeight="1">
      <c r="B46" s="291"/>
      <c r="C46" s="77"/>
      <c r="D46" s="364"/>
      <c r="E46" s="78"/>
      <c r="F46" s="632"/>
      <c r="G46" s="78"/>
      <c r="H46" s="225"/>
      <c r="I46" s="89"/>
      <c r="J46" s="887"/>
      <c r="K46" s="887"/>
      <c r="L46" s="887"/>
      <c r="M46" s="78"/>
      <c r="N46" s="364"/>
      <c r="O46" s="89"/>
      <c r="P46" s="633"/>
      <c r="Q46" s="73"/>
      <c r="R46" s="73"/>
      <c r="S46" s="78"/>
      <c r="Z46" s="74"/>
      <c r="AG46" s="74"/>
      <c r="AH46" s="74"/>
      <c r="AM46" s="74"/>
      <c r="AN46" s="74"/>
    </row>
    <row r="47" spans="2:40" customFormat="1">
      <c r="B47" s="74"/>
      <c r="C47" s="74"/>
      <c r="D47" s="73"/>
      <c r="E47" s="73"/>
      <c r="F47" s="73"/>
      <c r="G47" s="73"/>
      <c r="H47" s="73"/>
      <c r="I47" s="73"/>
      <c r="J47" s="648" t="s">
        <v>292</v>
      </c>
      <c r="K47" s="649"/>
      <c r="L47" s="650"/>
      <c r="M47" s="73"/>
      <c r="N47" s="73"/>
      <c r="O47" s="73"/>
      <c r="P47" s="73"/>
      <c r="Q47" s="73"/>
      <c r="R47" s="73"/>
      <c r="S47" s="78"/>
      <c r="Z47" s="74"/>
      <c r="AG47" s="74"/>
      <c r="AH47" s="74"/>
      <c r="AM47" s="74"/>
      <c r="AN47" s="74"/>
    </row>
    <row r="48" spans="2:40" customFormat="1" ht="21" customHeight="1">
      <c r="B48" s="74"/>
      <c r="C48" s="74"/>
      <c r="D48" s="73"/>
      <c r="E48" s="73"/>
      <c r="F48" s="73"/>
      <c r="G48" s="73"/>
      <c r="H48" s="73"/>
      <c r="I48" s="73"/>
      <c r="J48" s="246"/>
      <c r="K48" s="73"/>
      <c r="L48" s="75"/>
      <c r="M48" s="73"/>
      <c r="N48" s="73"/>
      <c r="O48" s="73"/>
      <c r="P48" s="73"/>
      <c r="Q48" s="73"/>
      <c r="R48" s="73"/>
      <c r="S48" s="78"/>
      <c r="Z48" s="74"/>
      <c r="AG48" s="74"/>
      <c r="AH48" s="74"/>
      <c r="AM48" s="74"/>
      <c r="AN48" s="74"/>
    </row>
    <row r="49" spans="2:40">
      <c r="J49" s="246"/>
      <c r="K49" s="73"/>
      <c r="L49" s="75"/>
    </row>
    <row r="50" spans="2:40">
      <c r="B50" s="81"/>
      <c r="C50" s="81"/>
      <c r="D50" s="81"/>
      <c r="E50" s="81"/>
      <c r="F50" s="81"/>
      <c r="G50" s="81"/>
      <c r="H50" s="81"/>
      <c r="I50" s="81"/>
      <c r="J50" s="81"/>
      <c r="K50" s="81"/>
      <c r="L50" s="82"/>
      <c r="M50" s="64"/>
      <c r="N50"/>
      <c r="O50"/>
      <c r="P50"/>
      <c r="Q50"/>
      <c r="R50"/>
      <c r="S50" s="74"/>
    </row>
    <row r="51" spans="2:40">
      <c r="M51" s="75"/>
      <c r="N51"/>
      <c r="O51"/>
      <c r="P51"/>
      <c r="Q51"/>
      <c r="R51"/>
      <c r="S51" s="74"/>
      <c r="U51" s="75"/>
      <c r="V51" s="75"/>
    </row>
    <row r="52" spans="2:40">
      <c r="M52"/>
      <c r="N52" s="75"/>
      <c r="O52" s="75"/>
      <c r="P52" s="75"/>
      <c r="Q52" s="75"/>
      <c r="R52" s="75"/>
      <c r="S52" s="75"/>
      <c r="T52" s="75"/>
    </row>
    <row r="53" spans="2:40">
      <c r="M53"/>
      <c r="N53"/>
      <c r="O53"/>
      <c r="P53"/>
      <c r="Q53"/>
      <c r="R53"/>
      <c r="S53" s="74"/>
    </row>
    <row r="54" spans="2:40">
      <c r="M54"/>
      <c r="N54"/>
      <c r="O54"/>
      <c r="P54"/>
      <c r="Q54"/>
      <c r="R54"/>
      <c r="S54" s="74"/>
    </row>
    <row r="55" spans="2:40">
      <c r="M55"/>
      <c r="N55"/>
      <c r="O55"/>
      <c r="P55"/>
      <c r="Q55"/>
      <c r="R55"/>
      <c r="S55" s="74"/>
    </row>
    <row r="56" spans="2:40">
      <c r="M56"/>
      <c r="N56"/>
      <c r="O56"/>
      <c r="P56"/>
      <c r="Q56"/>
      <c r="R56"/>
      <c r="S56" s="74"/>
    </row>
    <row r="57" spans="2:40" customFormat="1">
      <c r="B57" s="74"/>
      <c r="C57" s="74"/>
      <c r="D57" s="73"/>
      <c r="E57" s="73"/>
      <c r="F57" s="73"/>
      <c r="G57" s="73"/>
      <c r="H57" s="73"/>
      <c r="I57" s="73"/>
      <c r="J57" s="74"/>
      <c r="K57" s="74"/>
      <c r="L57" s="74"/>
      <c r="S57" s="74"/>
      <c r="Z57" s="74"/>
      <c r="AG57" s="74"/>
      <c r="AH57" s="74"/>
      <c r="AM57" s="74"/>
      <c r="AN57" s="74"/>
    </row>
    <row r="58" spans="2:40" customFormat="1">
      <c r="B58" s="74"/>
      <c r="C58" s="74"/>
      <c r="D58" s="73"/>
      <c r="E58" s="73"/>
      <c r="F58" s="73"/>
      <c r="G58" s="73"/>
      <c r="H58" s="73"/>
      <c r="I58" s="73"/>
      <c r="J58" s="74"/>
      <c r="K58" s="74"/>
      <c r="L58" s="74"/>
      <c r="M58" s="73"/>
      <c r="S58" s="74"/>
      <c r="Z58" s="74"/>
      <c r="AG58" s="74"/>
      <c r="AH58" s="74"/>
      <c r="AM58" s="74"/>
      <c r="AN58" s="74"/>
    </row>
  </sheetData>
  <sheetProtection sheet="1" objects="1" scenarios="1"/>
  <mergeCells count="9">
    <mergeCell ref="J43:L43"/>
    <mergeCell ref="J44:L44"/>
    <mergeCell ref="J45:L45"/>
    <mergeCell ref="J46:L46"/>
    <mergeCell ref="B40:F40"/>
    <mergeCell ref="J40:P40"/>
    <mergeCell ref="E41:G41"/>
    <mergeCell ref="J41:L41"/>
    <mergeCell ref="J42:L42"/>
  </mergeCells>
  <phoneticPr fontId="116" type="noConversion"/>
  <pageMargins left="0.7" right="0.7" top="0.75" bottom="0.75" header="0.3" footer="0.3"/>
  <headerFooter>
    <oddFooter>&amp;L&amp;A&amp;C&amp;D&amp;R&amp;P of &amp;N</oddFooter>
  </headerFooter>
  <rowBreaks count="1" manualBreakCount="1">
    <brk id="22" min="1" max="19" man="1"/>
  </rowBreaks>
  <drawing r:id="rId1"/>
  <legacyDrawing r:id="rId2"/>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B1:AL51"/>
  <sheetViews>
    <sheetView showGridLines="0" showRowColHeaders="0" workbookViewId="0">
      <selection activeCell="D7" sqref="D7"/>
    </sheetView>
  </sheetViews>
  <sheetFormatPr baseColWidth="10" defaultColWidth="8.83203125" defaultRowHeight="14"/>
  <cols>
    <col min="1" max="1" width="5.1640625" style="6" customWidth="1"/>
    <col min="2" max="2" width="29.5" style="6" customWidth="1"/>
    <col min="3" max="3" width="1.5" style="6" customWidth="1"/>
    <col min="4" max="4" width="12.33203125" style="7" customWidth="1"/>
    <col min="5" max="5" width="2.1640625" style="7" customWidth="1"/>
    <col min="6" max="6" width="12.1640625" style="7" customWidth="1"/>
    <col min="7" max="7" width="2.1640625" style="6" customWidth="1"/>
    <col min="8" max="8" width="11.33203125" style="6" customWidth="1"/>
    <col min="9" max="9" width="1.6640625" style="6" customWidth="1"/>
    <col min="10" max="10" width="13.1640625" style="6" customWidth="1"/>
    <col min="11" max="13" width="8.83203125" style="6"/>
    <col min="14" max="17" width="8.83203125" style="426"/>
    <col min="18" max="255" width="8.83203125" style="6"/>
    <col min="256" max="256" width="34" style="6" customWidth="1"/>
    <col min="257" max="257" width="13.5" style="6" customWidth="1"/>
    <col min="258" max="258" width="12.5" style="6" bestFit="1" customWidth="1"/>
    <col min="259" max="260" width="9.33203125" style="6" bestFit="1" customWidth="1"/>
    <col min="261" max="511" width="8.83203125" style="6"/>
    <col min="512" max="512" width="34" style="6" customWidth="1"/>
    <col min="513" max="513" width="13.5" style="6" customWidth="1"/>
    <col min="514" max="514" width="12.5" style="6" bestFit="1" customWidth="1"/>
    <col min="515" max="516" width="9.33203125" style="6" bestFit="1" customWidth="1"/>
    <col min="517" max="767" width="8.83203125" style="6"/>
    <col min="768" max="768" width="34" style="6" customWidth="1"/>
    <col min="769" max="769" width="13.5" style="6" customWidth="1"/>
    <col min="770" max="770" width="12.5" style="6" bestFit="1" customWidth="1"/>
    <col min="771" max="772" width="9.33203125" style="6" bestFit="1" customWidth="1"/>
    <col min="773" max="1023" width="8.83203125" style="6"/>
    <col min="1024" max="1024" width="34" style="6" customWidth="1"/>
    <col min="1025" max="1025" width="13.5" style="6" customWidth="1"/>
    <col min="1026" max="1026" width="12.5" style="6" bestFit="1" customWidth="1"/>
    <col min="1027" max="1028" width="9.33203125" style="6" bestFit="1" customWidth="1"/>
    <col min="1029" max="1279" width="8.83203125" style="6"/>
    <col min="1280" max="1280" width="34" style="6" customWidth="1"/>
    <col min="1281" max="1281" width="13.5" style="6" customWidth="1"/>
    <col min="1282" max="1282" width="12.5" style="6" bestFit="1" customWidth="1"/>
    <col min="1283" max="1284" width="9.33203125" style="6" bestFit="1" customWidth="1"/>
    <col min="1285" max="1535" width="8.83203125" style="6"/>
    <col min="1536" max="1536" width="34" style="6" customWidth="1"/>
    <col min="1537" max="1537" width="13.5" style="6" customWidth="1"/>
    <col min="1538" max="1538" width="12.5" style="6" bestFit="1" customWidth="1"/>
    <col min="1539" max="1540" width="9.33203125" style="6" bestFit="1" customWidth="1"/>
    <col min="1541" max="1791" width="8.83203125" style="6"/>
    <col min="1792" max="1792" width="34" style="6" customWidth="1"/>
    <col min="1793" max="1793" width="13.5" style="6" customWidth="1"/>
    <col min="1794" max="1794" width="12.5" style="6" bestFit="1" customWidth="1"/>
    <col min="1795" max="1796" width="9.33203125" style="6" bestFit="1" customWidth="1"/>
    <col min="1797" max="2047" width="8.83203125" style="6"/>
    <col min="2048" max="2048" width="34" style="6" customWidth="1"/>
    <col min="2049" max="2049" width="13.5" style="6" customWidth="1"/>
    <col min="2050" max="2050" width="12.5" style="6" bestFit="1" customWidth="1"/>
    <col min="2051" max="2052" width="9.33203125" style="6" bestFit="1" customWidth="1"/>
    <col min="2053" max="2303" width="8.83203125" style="6"/>
    <col min="2304" max="2304" width="34" style="6" customWidth="1"/>
    <col min="2305" max="2305" width="13.5" style="6" customWidth="1"/>
    <col min="2306" max="2306" width="12.5" style="6" bestFit="1" customWidth="1"/>
    <col min="2307" max="2308" width="9.33203125" style="6" bestFit="1" customWidth="1"/>
    <col min="2309" max="2559" width="8.83203125" style="6"/>
    <col min="2560" max="2560" width="34" style="6" customWidth="1"/>
    <col min="2561" max="2561" width="13.5" style="6" customWidth="1"/>
    <col min="2562" max="2562" width="12.5" style="6" bestFit="1" customWidth="1"/>
    <col min="2563" max="2564" width="9.33203125" style="6" bestFit="1" customWidth="1"/>
    <col min="2565" max="2815" width="8.83203125" style="6"/>
    <col min="2816" max="2816" width="34" style="6" customWidth="1"/>
    <col min="2817" max="2817" width="13.5" style="6" customWidth="1"/>
    <col min="2818" max="2818" width="12.5" style="6" bestFit="1" customWidth="1"/>
    <col min="2819" max="2820" width="9.33203125" style="6" bestFit="1" customWidth="1"/>
    <col min="2821" max="3071" width="8.83203125" style="6"/>
    <col min="3072" max="3072" width="34" style="6" customWidth="1"/>
    <col min="3073" max="3073" width="13.5" style="6" customWidth="1"/>
    <col min="3074" max="3074" width="12.5" style="6" bestFit="1" customWidth="1"/>
    <col min="3075" max="3076" width="9.33203125" style="6" bestFit="1" customWidth="1"/>
    <col min="3077" max="3327" width="8.83203125" style="6"/>
    <col min="3328" max="3328" width="34" style="6" customWidth="1"/>
    <col min="3329" max="3329" width="13.5" style="6" customWidth="1"/>
    <col min="3330" max="3330" width="12.5" style="6" bestFit="1" customWidth="1"/>
    <col min="3331" max="3332" width="9.33203125" style="6" bestFit="1" customWidth="1"/>
    <col min="3333" max="3583" width="8.83203125" style="6"/>
    <col min="3584" max="3584" width="34" style="6" customWidth="1"/>
    <col min="3585" max="3585" width="13.5" style="6" customWidth="1"/>
    <col min="3586" max="3586" width="12.5" style="6" bestFit="1" customWidth="1"/>
    <col min="3587" max="3588" width="9.33203125" style="6" bestFit="1" customWidth="1"/>
    <col min="3589" max="3839" width="8.83203125" style="6"/>
    <col min="3840" max="3840" width="34" style="6" customWidth="1"/>
    <col min="3841" max="3841" width="13.5" style="6" customWidth="1"/>
    <col min="3842" max="3842" width="12.5" style="6" bestFit="1" customWidth="1"/>
    <col min="3843" max="3844" width="9.33203125" style="6" bestFit="1" customWidth="1"/>
    <col min="3845" max="4095" width="8.83203125" style="6"/>
    <col min="4096" max="4096" width="34" style="6" customWidth="1"/>
    <col min="4097" max="4097" width="13.5" style="6" customWidth="1"/>
    <col min="4098" max="4098" width="12.5" style="6" bestFit="1" customWidth="1"/>
    <col min="4099" max="4100" width="9.33203125" style="6" bestFit="1" customWidth="1"/>
    <col min="4101" max="4351" width="8.83203125" style="6"/>
    <col min="4352" max="4352" width="34" style="6" customWidth="1"/>
    <col min="4353" max="4353" width="13.5" style="6" customWidth="1"/>
    <col min="4354" max="4354" width="12.5" style="6" bestFit="1" customWidth="1"/>
    <col min="4355" max="4356" width="9.33203125" style="6" bestFit="1" customWidth="1"/>
    <col min="4357" max="4607" width="8.83203125" style="6"/>
    <col min="4608" max="4608" width="34" style="6" customWidth="1"/>
    <col min="4609" max="4609" width="13.5" style="6" customWidth="1"/>
    <col min="4610" max="4610" width="12.5" style="6" bestFit="1" customWidth="1"/>
    <col min="4611" max="4612" width="9.33203125" style="6" bestFit="1" customWidth="1"/>
    <col min="4613" max="4863" width="8.83203125" style="6"/>
    <col min="4864" max="4864" width="34" style="6" customWidth="1"/>
    <col min="4865" max="4865" width="13.5" style="6" customWidth="1"/>
    <col min="4866" max="4866" width="12.5" style="6" bestFit="1" customWidth="1"/>
    <col min="4867" max="4868" width="9.33203125" style="6" bestFit="1" customWidth="1"/>
    <col min="4869" max="5119" width="8.83203125" style="6"/>
    <col min="5120" max="5120" width="34" style="6" customWidth="1"/>
    <col min="5121" max="5121" width="13.5" style="6" customWidth="1"/>
    <col min="5122" max="5122" width="12.5" style="6" bestFit="1" customWidth="1"/>
    <col min="5123" max="5124" width="9.33203125" style="6" bestFit="1" customWidth="1"/>
    <col min="5125" max="5375" width="8.83203125" style="6"/>
    <col min="5376" max="5376" width="34" style="6" customWidth="1"/>
    <col min="5377" max="5377" width="13.5" style="6" customWidth="1"/>
    <col min="5378" max="5378" width="12.5" style="6" bestFit="1" customWidth="1"/>
    <col min="5379" max="5380" width="9.33203125" style="6" bestFit="1" customWidth="1"/>
    <col min="5381" max="5631" width="8.83203125" style="6"/>
    <col min="5632" max="5632" width="34" style="6" customWidth="1"/>
    <col min="5633" max="5633" width="13.5" style="6" customWidth="1"/>
    <col min="5634" max="5634" width="12.5" style="6" bestFit="1" customWidth="1"/>
    <col min="5635" max="5636" width="9.33203125" style="6" bestFit="1" customWidth="1"/>
    <col min="5637" max="5887" width="8.83203125" style="6"/>
    <col min="5888" max="5888" width="34" style="6" customWidth="1"/>
    <col min="5889" max="5889" width="13.5" style="6" customWidth="1"/>
    <col min="5890" max="5890" width="12.5" style="6" bestFit="1" customWidth="1"/>
    <col min="5891" max="5892" width="9.33203125" style="6" bestFit="1" customWidth="1"/>
    <col min="5893" max="6143" width="8.83203125" style="6"/>
    <col min="6144" max="6144" width="34" style="6" customWidth="1"/>
    <col min="6145" max="6145" width="13.5" style="6" customWidth="1"/>
    <col min="6146" max="6146" width="12.5" style="6" bestFit="1" customWidth="1"/>
    <col min="6147" max="6148" width="9.33203125" style="6" bestFit="1" customWidth="1"/>
    <col min="6149" max="6399" width="8.83203125" style="6"/>
    <col min="6400" max="6400" width="34" style="6" customWidth="1"/>
    <col min="6401" max="6401" width="13.5" style="6" customWidth="1"/>
    <col min="6402" max="6402" width="12.5" style="6" bestFit="1" customWidth="1"/>
    <col min="6403" max="6404" width="9.33203125" style="6" bestFit="1" customWidth="1"/>
    <col min="6405" max="6655" width="8.83203125" style="6"/>
    <col min="6656" max="6656" width="34" style="6" customWidth="1"/>
    <col min="6657" max="6657" width="13.5" style="6" customWidth="1"/>
    <col min="6658" max="6658" width="12.5" style="6" bestFit="1" customWidth="1"/>
    <col min="6659" max="6660" width="9.33203125" style="6" bestFit="1" customWidth="1"/>
    <col min="6661" max="6911" width="8.83203125" style="6"/>
    <col min="6912" max="6912" width="34" style="6" customWidth="1"/>
    <col min="6913" max="6913" width="13.5" style="6" customWidth="1"/>
    <col min="6914" max="6914" width="12.5" style="6" bestFit="1" customWidth="1"/>
    <col min="6915" max="6916" width="9.33203125" style="6" bestFit="1" customWidth="1"/>
    <col min="6917" max="7167" width="8.83203125" style="6"/>
    <col min="7168" max="7168" width="34" style="6" customWidth="1"/>
    <col min="7169" max="7169" width="13.5" style="6" customWidth="1"/>
    <col min="7170" max="7170" width="12.5" style="6" bestFit="1" customWidth="1"/>
    <col min="7171" max="7172" width="9.33203125" style="6" bestFit="1" customWidth="1"/>
    <col min="7173" max="7423" width="8.83203125" style="6"/>
    <col min="7424" max="7424" width="34" style="6" customWidth="1"/>
    <col min="7425" max="7425" width="13.5" style="6" customWidth="1"/>
    <col min="7426" max="7426" width="12.5" style="6" bestFit="1" customWidth="1"/>
    <col min="7427" max="7428" width="9.33203125" style="6" bestFit="1" customWidth="1"/>
    <col min="7429" max="7679" width="8.83203125" style="6"/>
    <col min="7680" max="7680" width="34" style="6" customWidth="1"/>
    <col min="7681" max="7681" width="13.5" style="6" customWidth="1"/>
    <col min="7682" max="7682" width="12.5" style="6" bestFit="1" customWidth="1"/>
    <col min="7683" max="7684" width="9.33203125" style="6" bestFit="1" customWidth="1"/>
    <col min="7685" max="7935" width="8.83203125" style="6"/>
    <col min="7936" max="7936" width="34" style="6" customWidth="1"/>
    <col min="7937" max="7937" width="13.5" style="6" customWidth="1"/>
    <col min="7938" max="7938" width="12.5" style="6" bestFit="1" customWidth="1"/>
    <col min="7939" max="7940" width="9.33203125" style="6" bestFit="1" customWidth="1"/>
    <col min="7941" max="8191" width="8.83203125" style="6"/>
    <col min="8192" max="8192" width="34" style="6" customWidth="1"/>
    <col min="8193" max="8193" width="13.5" style="6" customWidth="1"/>
    <col min="8194" max="8194" width="12.5" style="6" bestFit="1" customWidth="1"/>
    <col min="8195" max="8196" width="9.33203125" style="6" bestFit="1" customWidth="1"/>
    <col min="8197" max="8447" width="8.83203125" style="6"/>
    <col min="8448" max="8448" width="34" style="6" customWidth="1"/>
    <col min="8449" max="8449" width="13.5" style="6" customWidth="1"/>
    <col min="8450" max="8450" width="12.5" style="6" bestFit="1" customWidth="1"/>
    <col min="8451" max="8452" width="9.33203125" style="6" bestFit="1" customWidth="1"/>
    <col min="8453" max="8703" width="8.83203125" style="6"/>
    <col min="8704" max="8704" width="34" style="6" customWidth="1"/>
    <col min="8705" max="8705" width="13.5" style="6" customWidth="1"/>
    <col min="8706" max="8706" width="12.5" style="6" bestFit="1" customWidth="1"/>
    <col min="8707" max="8708" width="9.33203125" style="6" bestFit="1" customWidth="1"/>
    <col min="8709" max="8959" width="8.83203125" style="6"/>
    <col min="8960" max="8960" width="34" style="6" customWidth="1"/>
    <col min="8961" max="8961" width="13.5" style="6" customWidth="1"/>
    <col min="8962" max="8962" width="12.5" style="6" bestFit="1" customWidth="1"/>
    <col min="8963" max="8964" width="9.33203125" style="6" bestFit="1" customWidth="1"/>
    <col min="8965" max="9215" width="8.83203125" style="6"/>
    <col min="9216" max="9216" width="34" style="6" customWidth="1"/>
    <col min="9217" max="9217" width="13.5" style="6" customWidth="1"/>
    <col min="9218" max="9218" width="12.5" style="6" bestFit="1" customWidth="1"/>
    <col min="9219" max="9220" width="9.33203125" style="6" bestFit="1" customWidth="1"/>
    <col min="9221" max="9471" width="8.83203125" style="6"/>
    <col min="9472" max="9472" width="34" style="6" customWidth="1"/>
    <col min="9473" max="9473" width="13.5" style="6" customWidth="1"/>
    <col min="9474" max="9474" width="12.5" style="6" bestFit="1" customWidth="1"/>
    <col min="9475" max="9476" width="9.33203125" style="6" bestFit="1" customWidth="1"/>
    <col min="9477" max="9727" width="8.83203125" style="6"/>
    <col min="9728" max="9728" width="34" style="6" customWidth="1"/>
    <col min="9729" max="9729" width="13.5" style="6" customWidth="1"/>
    <col min="9730" max="9730" width="12.5" style="6" bestFit="1" customWidth="1"/>
    <col min="9731" max="9732" width="9.33203125" style="6" bestFit="1" customWidth="1"/>
    <col min="9733" max="9983" width="8.83203125" style="6"/>
    <col min="9984" max="9984" width="34" style="6" customWidth="1"/>
    <col min="9985" max="9985" width="13.5" style="6" customWidth="1"/>
    <col min="9986" max="9986" width="12.5" style="6" bestFit="1" customWidth="1"/>
    <col min="9987" max="9988" width="9.33203125" style="6" bestFit="1" customWidth="1"/>
    <col min="9989" max="10239" width="8.83203125" style="6"/>
    <col min="10240" max="10240" width="34" style="6" customWidth="1"/>
    <col min="10241" max="10241" width="13.5" style="6" customWidth="1"/>
    <col min="10242" max="10242" width="12.5" style="6" bestFit="1" customWidth="1"/>
    <col min="10243" max="10244" width="9.33203125" style="6" bestFit="1" customWidth="1"/>
    <col min="10245" max="10495" width="8.83203125" style="6"/>
    <col min="10496" max="10496" width="34" style="6" customWidth="1"/>
    <col min="10497" max="10497" width="13.5" style="6" customWidth="1"/>
    <col min="10498" max="10498" width="12.5" style="6" bestFit="1" customWidth="1"/>
    <col min="10499" max="10500" width="9.33203125" style="6" bestFit="1" customWidth="1"/>
    <col min="10501" max="10751" width="8.83203125" style="6"/>
    <col min="10752" max="10752" width="34" style="6" customWidth="1"/>
    <col min="10753" max="10753" width="13.5" style="6" customWidth="1"/>
    <col min="10754" max="10754" width="12.5" style="6" bestFit="1" customWidth="1"/>
    <col min="10755" max="10756" width="9.33203125" style="6" bestFit="1" customWidth="1"/>
    <col min="10757" max="11007" width="8.83203125" style="6"/>
    <col min="11008" max="11008" width="34" style="6" customWidth="1"/>
    <col min="11009" max="11009" width="13.5" style="6" customWidth="1"/>
    <col min="11010" max="11010" width="12.5" style="6" bestFit="1" customWidth="1"/>
    <col min="11011" max="11012" width="9.33203125" style="6" bestFit="1" customWidth="1"/>
    <col min="11013" max="11263" width="8.83203125" style="6"/>
    <col min="11264" max="11264" width="34" style="6" customWidth="1"/>
    <col min="11265" max="11265" width="13.5" style="6" customWidth="1"/>
    <col min="11266" max="11266" width="12.5" style="6" bestFit="1" customWidth="1"/>
    <col min="11267" max="11268" width="9.33203125" style="6" bestFit="1" customWidth="1"/>
    <col min="11269" max="11519" width="8.83203125" style="6"/>
    <col min="11520" max="11520" width="34" style="6" customWidth="1"/>
    <col min="11521" max="11521" width="13.5" style="6" customWidth="1"/>
    <col min="11522" max="11522" width="12.5" style="6" bestFit="1" customWidth="1"/>
    <col min="11523" max="11524" width="9.33203125" style="6" bestFit="1" customWidth="1"/>
    <col min="11525" max="11775" width="8.83203125" style="6"/>
    <col min="11776" max="11776" width="34" style="6" customWidth="1"/>
    <col min="11777" max="11777" width="13.5" style="6" customWidth="1"/>
    <col min="11778" max="11778" width="12.5" style="6" bestFit="1" customWidth="1"/>
    <col min="11779" max="11780" width="9.33203125" style="6" bestFit="1" customWidth="1"/>
    <col min="11781" max="12031" width="8.83203125" style="6"/>
    <col min="12032" max="12032" width="34" style="6" customWidth="1"/>
    <col min="12033" max="12033" width="13.5" style="6" customWidth="1"/>
    <col min="12034" max="12034" width="12.5" style="6" bestFit="1" customWidth="1"/>
    <col min="12035" max="12036" width="9.33203125" style="6" bestFit="1" customWidth="1"/>
    <col min="12037" max="12287" width="8.83203125" style="6"/>
    <col min="12288" max="12288" width="34" style="6" customWidth="1"/>
    <col min="12289" max="12289" width="13.5" style="6" customWidth="1"/>
    <col min="12290" max="12290" width="12.5" style="6" bestFit="1" customWidth="1"/>
    <col min="12291" max="12292" width="9.33203125" style="6" bestFit="1" customWidth="1"/>
    <col min="12293" max="12543" width="8.83203125" style="6"/>
    <col min="12544" max="12544" width="34" style="6" customWidth="1"/>
    <col min="12545" max="12545" width="13.5" style="6" customWidth="1"/>
    <col min="12546" max="12546" width="12.5" style="6" bestFit="1" customWidth="1"/>
    <col min="12547" max="12548" width="9.33203125" style="6" bestFit="1" customWidth="1"/>
    <col min="12549" max="12799" width="8.83203125" style="6"/>
    <col min="12800" max="12800" width="34" style="6" customWidth="1"/>
    <col min="12801" max="12801" width="13.5" style="6" customWidth="1"/>
    <col min="12802" max="12802" width="12.5" style="6" bestFit="1" customWidth="1"/>
    <col min="12803" max="12804" width="9.33203125" style="6" bestFit="1" customWidth="1"/>
    <col min="12805" max="13055" width="8.83203125" style="6"/>
    <col min="13056" max="13056" width="34" style="6" customWidth="1"/>
    <col min="13057" max="13057" width="13.5" style="6" customWidth="1"/>
    <col min="13058" max="13058" width="12.5" style="6" bestFit="1" customWidth="1"/>
    <col min="13059" max="13060" width="9.33203125" style="6" bestFit="1" customWidth="1"/>
    <col min="13061" max="13311" width="8.83203125" style="6"/>
    <col min="13312" max="13312" width="34" style="6" customWidth="1"/>
    <col min="13313" max="13313" width="13.5" style="6" customWidth="1"/>
    <col min="13314" max="13314" width="12.5" style="6" bestFit="1" customWidth="1"/>
    <col min="13315" max="13316" width="9.33203125" style="6" bestFit="1" customWidth="1"/>
    <col min="13317" max="13567" width="8.83203125" style="6"/>
    <col min="13568" max="13568" width="34" style="6" customWidth="1"/>
    <col min="13569" max="13569" width="13.5" style="6" customWidth="1"/>
    <col min="13570" max="13570" width="12.5" style="6" bestFit="1" customWidth="1"/>
    <col min="13571" max="13572" width="9.33203125" style="6" bestFit="1" customWidth="1"/>
    <col min="13573" max="13823" width="8.83203125" style="6"/>
    <col min="13824" max="13824" width="34" style="6" customWidth="1"/>
    <col min="13825" max="13825" width="13.5" style="6" customWidth="1"/>
    <col min="13826" max="13826" width="12.5" style="6" bestFit="1" customWidth="1"/>
    <col min="13827" max="13828" width="9.33203125" style="6" bestFit="1" customWidth="1"/>
    <col min="13829" max="14079" width="8.83203125" style="6"/>
    <col min="14080" max="14080" width="34" style="6" customWidth="1"/>
    <col min="14081" max="14081" width="13.5" style="6" customWidth="1"/>
    <col min="14082" max="14082" width="12.5" style="6" bestFit="1" customWidth="1"/>
    <col min="14083" max="14084" width="9.33203125" style="6" bestFit="1" customWidth="1"/>
    <col min="14085" max="14335" width="8.83203125" style="6"/>
    <col min="14336" max="14336" width="34" style="6" customWidth="1"/>
    <col min="14337" max="14337" width="13.5" style="6" customWidth="1"/>
    <col min="14338" max="14338" width="12.5" style="6" bestFit="1" customWidth="1"/>
    <col min="14339" max="14340" width="9.33203125" style="6" bestFit="1" customWidth="1"/>
    <col min="14341" max="14591" width="8.83203125" style="6"/>
    <col min="14592" max="14592" width="34" style="6" customWidth="1"/>
    <col min="14593" max="14593" width="13.5" style="6" customWidth="1"/>
    <col min="14594" max="14594" width="12.5" style="6" bestFit="1" customWidth="1"/>
    <col min="14595" max="14596" width="9.33203125" style="6" bestFit="1" customWidth="1"/>
    <col min="14597" max="14847" width="8.83203125" style="6"/>
    <col min="14848" max="14848" width="34" style="6" customWidth="1"/>
    <col min="14849" max="14849" width="13.5" style="6" customWidth="1"/>
    <col min="14850" max="14850" width="12.5" style="6" bestFit="1" customWidth="1"/>
    <col min="14851" max="14852" width="9.33203125" style="6" bestFit="1" customWidth="1"/>
    <col min="14853" max="15103" width="8.83203125" style="6"/>
    <col min="15104" max="15104" width="34" style="6" customWidth="1"/>
    <col min="15105" max="15105" width="13.5" style="6" customWidth="1"/>
    <col min="15106" max="15106" width="12.5" style="6" bestFit="1" customWidth="1"/>
    <col min="15107" max="15108" width="9.33203125" style="6" bestFit="1" customWidth="1"/>
    <col min="15109" max="15359" width="8.83203125" style="6"/>
    <col min="15360" max="15360" width="34" style="6" customWidth="1"/>
    <col min="15361" max="15361" width="13.5" style="6" customWidth="1"/>
    <col min="15362" max="15362" width="12.5" style="6" bestFit="1" customWidth="1"/>
    <col min="15363" max="15364" width="9.33203125" style="6" bestFit="1" customWidth="1"/>
    <col min="15365" max="15615" width="8.83203125" style="6"/>
    <col min="15616" max="15616" width="34" style="6" customWidth="1"/>
    <col min="15617" max="15617" width="13.5" style="6" customWidth="1"/>
    <col min="15618" max="15618" width="12.5" style="6" bestFit="1" customWidth="1"/>
    <col min="15619" max="15620" width="9.33203125" style="6" bestFit="1" customWidth="1"/>
    <col min="15621" max="15871" width="8.83203125" style="6"/>
    <col min="15872" max="15872" width="34" style="6" customWidth="1"/>
    <col min="15873" max="15873" width="13.5" style="6" customWidth="1"/>
    <col min="15874" max="15874" width="12.5" style="6" bestFit="1" customWidth="1"/>
    <col min="15875" max="15876" width="9.33203125" style="6" bestFit="1" customWidth="1"/>
    <col min="15877" max="16127" width="8.83203125" style="6"/>
    <col min="16128" max="16128" width="34" style="6" customWidth="1"/>
    <col min="16129" max="16129" width="13.5" style="6" customWidth="1"/>
    <col min="16130" max="16130" width="12.5" style="6" bestFit="1" customWidth="1"/>
    <col min="16131" max="16132" width="9.33203125" style="6" bestFit="1" customWidth="1"/>
    <col min="16133" max="16384" width="8.83203125" style="6"/>
  </cols>
  <sheetData>
    <row r="1" spans="2:38" ht="61.5" customHeight="1">
      <c r="B1" s="171"/>
    </row>
    <row r="2" spans="2:38" ht="42" customHeight="1">
      <c r="B2" s="93" t="str">
        <f>IF('About My Ranch'!D13="X","The required data for the Pasture Enterprise will be entered in this tab.","You did not indicate in the 'About My Ranch' Tab that you have a Pasture Enterprise.")</f>
        <v>You did not indicate in the 'About My Ranch' Tab that you have a Pasture Enterprise.</v>
      </c>
      <c r="C2" s="113"/>
      <c r="E2" s="172"/>
    </row>
    <row r="3" spans="2:38" ht="28">
      <c r="B3" s="93"/>
      <c r="C3" s="113"/>
      <c r="E3" s="172"/>
    </row>
    <row r="4" spans="2:38" ht="28">
      <c r="B4" s="93"/>
      <c r="C4" s="113"/>
      <c r="E4" s="172"/>
    </row>
    <row r="5" spans="2:38" s="74" customFormat="1" ht="31.5" customHeight="1">
      <c r="B5" s="399" t="s">
        <v>374</v>
      </c>
      <c r="C5" s="252"/>
      <c r="D5" s="901" t="s">
        <v>370</v>
      </c>
      <c r="E5" s="73"/>
      <c r="F5" s="901" t="s">
        <v>371</v>
      </c>
      <c r="G5" s="73"/>
      <c r="H5" s="900" t="s">
        <v>372</v>
      </c>
      <c r="I5" s="257"/>
      <c r="J5" s="904" t="s">
        <v>375</v>
      </c>
      <c r="K5" s="257"/>
      <c r="L5" s="905"/>
      <c r="M5" s="257"/>
      <c r="N5" s="906"/>
      <c r="O5" s="370"/>
      <c r="P5" s="899"/>
      <c r="Q5" s="78"/>
      <c r="R5" s="900"/>
      <c r="S5" s="306"/>
      <c r="T5" s="260"/>
      <c r="U5" s="260"/>
      <c r="V5" s="404"/>
      <c r="W5" s="404"/>
      <c r="X5" s="260"/>
      <c r="Y5" s="260"/>
      <c r="AA5" s="260"/>
      <c r="AB5" s="260"/>
      <c r="AC5" s="260"/>
      <c r="AD5" s="260"/>
      <c r="AE5" s="260"/>
      <c r="AF5" s="260"/>
      <c r="AI5" s="260"/>
      <c r="AJ5" s="260"/>
      <c r="AK5" s="260"/>
      <c r="AL5" s="260"/>
    </row>
    <row r="6" spans="2:38" s="74" customFormat="1" ht="15.75" customHeight="1">
      <c r="B6" s="414"/>
      <c r="C6" s="252"/>
      <c r="D6" s="902"/>
      <c r="E6" s="73"/>
      <c r="F6" s="903"/>
      <c r="G6" s="73"/>
      <c r="H6" s="900"/>
      <c r="I6" s="257"/>
      <c r="J6" s="904"/>
      <c r="K6" s="257"/>
      <c r="L6" s="905"/>
      <c r="M6" s="257"/>
      <c r="N6" s="906"/>
      <c r="O6" s="370"/>
      <c r="P6" s="899"/>
      <c r="Q6" s="78"/>
      <c r="R6" s="900"/>
      <c r="S6" s="306"/>
      <c r="T6" s="260"/>
      <c r="U6" s="260"/>
      <c r="V6"/>
      <c r="W6" s="403"/>
      <c r="X6" s="260"/>
      <c r="Y6" s="260"/>
      <c r="AA6" s="260"/>
      <c r="AB6" s="260"/>
      <c r="AC6" s="260"/>
      <c r="AD6" s="260"/>
      <c r="AE6" s="260"/>
      <c r="AF6" s="260"/>
      <c r="AI6" s="260"/>
      <c r="AJ6" s="260"/>
      <c r="AK6" s="260"/>
      <c r="AL6" s="260"/>
    </row>
    <row r="7" spans="2:38" s="74" customFormat="1" ht="21.75" customHeight="1">
      <c r="B7" s="383" t="s">
        <v>86</v>
      </c>
      <c r="C7" s="208"/>
      <c r="D7" s="311"/>
      <c r="E7" s="815"/>
      <c r="F7" s="400"/>
      <c r="G7" s="325"/>
      <c r="H7" s="609"/>
      <c r="I7" s="308"/>
      <c r="J7" s="443">
        <f>D7+F7+H7</f>
        <v>0</v>
      </c>
      <c r="K7" s="308"/>
      <c r="L7" s="327"/>
      <c r="M7" s="313"/>
      <c r="N7" s="424"/>
      <c r="O7" s="313"/>
      <c r="P7" s="425"/>
      <c r="Q7" s="78"/>
      <c r="R7" s="327"/>
      <c r="S7" s="316"/>
      <c r="T7"/>
      <c r="U7"/>
      <c r="V7" s="401"/>
      <c r="W7" s="2"/>
      <c r="X7"/>
      <c r="Y7"/>
      <c r="AA7"/>
      <c r="AB7"/>
      <c r="AC7"/>
      <c r="AD7"/>
      <c r="AE7"/>
      <c r="AF7"/>
      <c r="AI7"/>
      <c r="AJ7"/>
      <c r="AK7"/>
      <c r="AL7"/>
    </row>
    <row r="8" spans="2:38" s="74" customFormat="1" ht="8.25" customHeight="1">
      <c r="B8" s="252"/>
      <c r="C8" s="207"/>
      <c r="D8" s="315"/>
      <c r="E8" s="815"/>
      <c r="F8" s="315"/>
      <c r="G8" s="325"/>
      <c r="H8" s="310"/>
      <c r="I8" s="308"/>
      <c r="J8" s="442"/>
      <c r="K8" s="308"/>
      <c r="L8" s="313"/>
      <c r="M8" s="314"/>
      <c r="N8" s="313"/>
      <c r="O8" s="313"/>
      <c r="P8" s="313"/>
      <c r="Q8" s="78"/>
      <c r="R8" s="313"/>
      <c r="S8" s="78"/>
      <c r="T8"/>
      <c r="U8"/>
      <c r="V8" s="401"/>
      <c r="W8" s="2"/>
      <c r="X8"/>
      <c r="Y8"/>
      <c r="AA8"/>
      <c r="AB8"/>
      <c r="AC8"/>
      <c r="AD8"/>
      <c r="AE8"/>
      <c r="AF8"/>
      <c r="AI8"/>
      <c r="AJ8"/>
      <c r="AK8"/>
      <c r="AL8"/>
    </row>
    <row r="9" spans="2:38" s="74" customFormat="1" ht="22.5" customHeight="1">
      <c r="B9" s="383" t="s">
        <v>85</v>
      </c>
      <c r="C9" s="208"/>
      <c r="D9" s="311"/>
      <c r="E9" s="815"/>
      <c r="F9" s="311"/>
      <c r="G9" s="325"/>
      <c r="H9" s="609"/>
      <c r="I9" s="308"/>
      <c r="J9" s="443">
        <f>D9+F9+H9</f>
        <v>0</v>
      </c>
      <c r="K9" s="308"/>
      <c r="L9" s="313"/>
      <c r="M9" s="313"/>
      <c r="N9" s="313"/>
      <c r="O9" s="313"/>
      <c r="P9" s="425"/>
      <c r="Q9" s="78"/>
      <c r="R9" s="313"/>
      <c r="S9" s="78"/>
      <c r="T9"/>
      <c r="U9"/>
      <c r="V9" s="401"/>
      <c r="W9" s="2"/>
      <c r="X9"/>
      <c r="Y9"/>
      <c r="AA9"/>
      <c r="AB9"/>
      <c r="AC9"/>
      <c r="AD9"/>
      <c r="AE9"/>
      <c r="AF9"/>
      <c r="AI9"/>
      <c r="AJ9"/>
      <c r="AK9"/>
      <c r="AL9"/>
    </row>
    <row r="10" spans="2:38" s="74" customFormat="1" ht="8.25" customHeight="1">
      <c r="B10" s="261"/>
      <c r="C10" s="208"/>
      <c r="D10" s="312"/>
      <c r="E10" s="815"/>
      <c r="F10" s="312"/>
      <c r="G10" s="325"/>
      <c r="H10" s="310"/>
      <c r="I10" s="308"/>
      <c r="J10" s="442"/>
      <c r="K10" s="308"/>
      <c r="L10" s="313"/>
      <c r="M10" s="313"/>
      <c r="N10" s="313"/>
      <c r="O10" s="313"/>
      <c r="P10" s="313"/>
      <c r="Q10" s="78"/>
      <c r="R10" s="313"/>
      <c r="S10" s="78"/>
      <c r="T10"/>
      <c r="U10"/>
      <c r="V10"/>
      <c r="W10" s="2"/>
      <c r="X10"/>
      <c r="Y10"/>
      <c r="AA10"/>
      <c r="AB10"/>
      <c r="AC10"/>
      <c r="AD10"/>
      <c r="AE10"/>
      <c r="AF10"/>
      <c r="AI10"/>
      <c r="AJ10"/>
      <c r="AK10"/>
      <c r="AL10"/>
    </row>
    <row r="11" spans="2:38" s="74" customFormat="1" ht="18.75" customHeight="1">
      <c r="B11" s="261" t="s">
        <v>373</v>
      </c>
      <c r="C11" s="208"/>
      <c r="D11" s="322">
        <f>D7+D9</f>
        <v>0</v>
      </c>
      <c r="E11" s="816"/>
      <c r="F11" s="322">
        <f>F7+F9</f>
        <v>0</v>
      </c>
      <c r="G11" s="323"/>
      <c r="H11" s="322">
        <f>H7+H9</f>
        <v>0</v>
      </c>
      <c r="I11" s="250"/>
      <c r="J11" s="322">
        <f>J7+J9</f>
        <v>0</v>
      </c>
      <c r="K11" s="250"/>
      <c r="L11" s="352"/>
      <c r="M11" s="251"/>
      <c r="N11" s="352"/>
      <c r="O11" s="324"/>
      <c r="P11" s="427"/>
      <c r="Q11" s="78"/>
      <c r="R11" s="73"/>
      <c r="S11" s="78"/>
      <c r="T11"/>
      <c r="U11"/>
      <c r="V11"/>
      <c r="W11" s="2"/>
      <c r="X11"/>
      <c r="Y11"/>
      <c r="AA11"/>
      <c r="AB11"/>
      <c r="AC11"/>
      <c r="AD11"/>
      <c r="AE11"/>
      <c r="AF11"/>
      <c r="AI11"/>
      <c r="AJ11"/>
      <c r="AK11"/>
      <c r="AL11"/>
    </row>
    <row r="12" spans="2:38" s="375" customFormat="1" ht="17.25" customHeight="1">
      <c r="B12" s="390"/>
      <c r="C12" s="395"/>
      <c r="D12" s="271"/>
      <c r="E12" s="313"/>
      <c r="F12" s="313"/>
      <c r="G12" s="78"/>
      <c r="H12" s="271"/>
      <c r="I12" s="313"/>
      <c r="J12" s="271"/>
      <c r="K12" s="313"/>
      <c r="L12" s="313"/>
      <c r="M12" s="78"/>
      <c r="N12" s="271"/>
      <c r="O12" s="78"/>
      <c r="P12" s="271"/>
      <c r="Q12" s="78"/>
      <c r="R12" s="78"/>
      <c r="S12" s="78"/>
      <c r="T12" s="389"/>
      <c r="U12" s="389"/>
      <c r="V12" s="389"/>
      <c r="W12" s="402"/>
      <c r="X12" s="389"/>
      <c r="Y12" s="389"/>
      <c r="AA12" s="389"/>
      <c r="AB12" s="389"/>
      <c r="AC12" s="389"/>
      <c r="AD12" s="389"/>
      <c r="AE12" s="389"/>
      <c r="AF12" s="389"/>
      <c r="AI12" s="389"/>
      <c r="AJ12" s="389"/>
      <c r="AK12" s="389"/>
      <c r="AL12" s="389"/>
    </row>
    <row r="13" spans="2:38" s="426" customFormat="1">
      <c r="B13" s="430"/>
      <c r="C13" s="431"/>
      <c r="D13" s="431"/>
      <c r="E13" s="431"/>
      <c r="F13" s="431"/>
    </row>
    <row r="14" spans="2:38" s="426" customFormat="1" ht="23.25" customHeight="1">
      <c r="B14" s="432"/>
      <c r="C14" s="817"/>
      <c r="D14" s="817"/>
      <c r="E14" s="817"/>
      <c r="F14" s="431"/>
    </row>
    <row r="15" spans="2:38" s="426" customFormat="1" ht="23.25" customHeight="1">
      <c r="B15" s="652">
        <v>0</v>
      </c>
      <c r="C15" s="433"/>
      <c r="D15" s="444" t="str">
        <f>"Total $ Received for custom grazing in "&amp;'About My Ranch'!F19</f>
        <v xml:space="preserve">Total $ Received for custom grazing in </v>
      </c>
      <c r="E15" s="433"/>
      <c r="F15" s="431"/>
    </row>
    <row r="16" spans="2:38" s="426" customFormat="1">
      <c r="B16" s="432"/>
      <c r="C16" s="428"/>
      <c r="D16" s="428"/>
      <c r="E16" s="428"/>
      <c r="F16" s="428"/>
    </row>
    <row r="17" spans="2:7" s="426" customFormat="1">
      <c r="B17" s="434"/>
      <c r="C17" s="429"/>
      <c r="D17" s="428"/>
      <c r="E17" s="428"/>
      <c r="F17" s="428"/>
    </row>
    <row r="18" spans="2:7" s="426" customFormat="1" hidden="1">
      <c r="C18" s="428"/>
      <c r="D18" s="428"/>
      <c r="E18" s="428"/>
      <c r="F18" s="428"/>
    </row>
    <row r="19" spans="2:7" s="426" customFormat="1" ht="23.25" hidden="1" customHeight="1">
      <c r="B19" s="430"/>
      <c r="C19" s="430"/>
      <c r="D19" s="561" t="s">
        <v>307</v>
      </c>
      <c r="E19" s="435"/>
      <c r="F19" s="435"/>
    </row>
    <row r="20" spans="2:7" s="426" customFormat="1" ht="23" hidden="1">
      <c r="B20" s="383" t="s">
        <v>141</v>
      </c>
      <c r="C20" s="208"/>
      <c r="D20" s="311">
        <v>0</v>
      </c>
      <c r="E20" s="437"/>
      <c r="F20" s="562" t="s">
        <v>513</v>
      </c>
    </row>
    <row r="21" spans="2:7" s="426" customFormat="1" ht="6.75" hidden="1" customHeight="1">
      <c r="B21" s="252"/>
      <c r="C21" s="207"/>
      <c r="D21" s="315"/>
      <c r="E21" s="437"/>
      <c r="F21" s="437"/>
    </row>
    <row r="22" spans="2:7" s="426" customFormat="1" ht="23" hidden="1">
      <c r="B22" s="383" t="s">
        <v>512</v>
      </c>
      <c r="C22" s="208"/>
      <c r="D22" s="311">
        <v>0</v>
      </c>
      <c r="E22" s="437"/>
      <c r="F22" s="562" t="s">
        <v>513</v>
      </c>
    </row>
    <row r="23" spans="2:7" s="426" customFormat="1" ht="6.75" hidden="1" customHeight="1">
      <c r="B23" s="261"/>
      <c r="C23" s="208"/>
      <c r="D23" s="312"/>
      <c r="E23" s="437"/>
      <c r="F23" s="437"/>
      <c r="G23" s="438"/>
    </row>
    <row r="24" spans="2:7" s="426" customFormat="1" ht="23" hidden="1">
      <c r="B24" s="261" t="s">
        <v>51</v>
      </c>
      <c r="C24" s="208"/>
      <c r="D24" s="638">
        <f>D20+D22</f>
        <v>0</v>
      </c>
      <c r="E24" s="441"/>
      <c r="F24" s="562" t="s">
        <v>513</v>
      </c>
    </row>
    <row r="25" spans="2:7" s="426" customFormat="1" ht="9.75" hidden="1" customHeight="1">
      <c r="C25" s="439"/>
      <c r="D25" s="436"/>
      <c r="E25" s="437"/>
      <c r="F25" s="437"/>
    </row>
    <row r="26" spans="2:7" s="426" customFormat="1" ht="20.25" hidden="1" customHeight="1">
      <c r="B26" s="430"/>
      <c r="C26" s="439"/>
      <c r="D26" s="440"/>
      <c r="E26" s="441"/>
      <c r="F26" s="441"/>
    </row>
    <row r="27" spans="2:7" s="426" customFormat="1" hidden="1">
      <c r="C27" s="439"/>
      <c r="D27" s="436"/>
      <c r="E27" s="437"/>
      <c r="F27" s="437"/>
    </row>
    <row r="28" spans="2:7" s="426" customFormat="1">
      <c r="C28" s="439"/>
      <c r="D28" s="436"/>
      <c r="E28" s="437"/>
      <c r="F28" s="437"/>
    </row>
    <row r="29" spans="2:7" s="426" customFormat="1">
      <c r="C29" s="439"/>
      <c r="D29" s="436"/>
      <c r="E29" s="437"/>
      <c r="F29" s="437"/>
    </row>
    <row r="30" spans="2:7" s="426" customFormat="1">
      <c r="C30" s="439"/>
      <c r="D30" s="436"/>
      <c r="E30" s="437"/>
      <c r="F30" s="437"/>
    </row>
    <row r="31" spans="2:7" s="426" customFormat="1">
      <c r="C31" s="439"/>
      <c r="D31" s="436"/>
      <c r="E31" s="437"/>
      <c r="F31" s="437"/>
    </row>
    <row r="32" spans="2:7" s="426" customFormat="1">
      <c r="C32" s="439"/>
      <c r="D32" s="436"/>
      <c r="E32" s="437"/>
      <c r="F32" s="437"/>
    </row>
    <row r="33" spans="2:6" s="426" customFormat="1">
      <c r="C33" s="439"/>
      <c r="D33" s="436"/>
      <c r="E33" s="437"/>
      <c r="F33" s="437"/>
    </row>
    <row r="34" spans="2:6" s="426" customFormat="1">
      <c r="C34" s="439"/>
      <c r="D34" s="436"/>
      <c r="E34" s="437"/>
      <c r="F34" s="437"/>
    </row>
    <row r="35" spans="2:6" s="426" customFormat="1">
      <c r="C35" s="439"/>
      <c r="D35" s="436"/>
      <c r="E35" s="437"/>
      <c r="F35" s="437"/>
    </row>
    <row r="36" spans="2:6" s="426" customFormat="1">
      <c r="C36" s="439"/>
      <c r="D36" s="436"/>
      <c r="E36" s="437"/>
      <c r="F36" s="437"/>
    </row>
    <row r="37" spans="2:6" s="426" customFormat="1">
      <c r="C37" s="439"/>
      <c r="D37" s="436"/>
      <c r="E37" s="437"/>
      <c r="F37" s="437"/>
    </row>
    <row r="38" spans="2:6" s="426" customFormat="1">
      <c r="C38" s="439"/>
      <c r="D38" s="436"/>
      <c r="E38" s="437"/>
      <c r="F38" s="437"/>
    </row>
    <row r="39" spans="2:6" s="426" customFormat="1">
      <c r="C39" s="439"/>
      <c r="D39" s="436"/>
      <c r="E39" s="437"/>
      <c r="F39" s="437"/>
    </row>
    <row r="40" spans="2:6" s="426" customFormat="1">
      <c r="C40" s="439"/>
      <c r="D40" s="436"/>
      <c r="E40" s="437"/>
      <c r="F40" s="437"/>
    </row>
    <row r="41" spans="2:6" s="426" customFormat="1">
      <c r="C41" s="439"/>
      <c r="D41" s="436"/>
      <c r="E41" s="437"/>
      <c r="F41" s="437"/>
    </row>
    <row r="42" spans="2:6" s="426" customFormat="1">
      <c r="C42" s="439"/>
      <c r="D42" s="436"/>
      <c r="E42" s="437"/>
      <c r="F42" s="437"/>
    </row>
    <row r="43" spans="2:6" s="426" customFormat="1">
      <c r="C43" s="439"/>
      <c r="D43" s="436"/>
      <c r="E43" s="437"/>
      <c r="F43" s="437"/>
    </row>
    <row r="44" spans="2:6" s="426" customFormat="1">
      <c r="B44" s="430"/>
      <c r="C44" s="439"/>
      <c r="D44" s="440"/>
      <c r="E44" s="441"/>
      <c r="F44" s="441"/>
    </row>
    <row r="45" spans="2:6" s="426" customFormat="1">
      <c r="B45" s="430"/>
      <c r="C45" s="439"/>
      <c r="D45" s="440"/>
      <c r="E45" s="441"/>
      <c r="F45" s="441"/>
    </row>
    <row r="46" spans="2:6" s="426" customFormat="1">
      <c r="B46" s="430"/>
      <c r="C46" s="439"/>
      <c r="D46" s="435"/>
      <c r="E46" s="435"/>
      <c r="F46" s="435"/>
    </row>
    <row r="47" spans="2:6" s="426" customFormat="1">
      <c r="B47" s="430"/>
      <c r="C47" s="439"/>
      <c r="D47" s="440"/>
      <c r="E47" s="441"/>
      <c r="F47" s="441"/>
    </row>
    <row r="48" spans="2:6" s="426" customFormat="1">
      <c r="B48" s="430"/>
      <c r="C48" s="439"/>
      <c r="D48" s="440"/>
      <c r="E48" s="441"/>
      <c r="F48" s="441"/>
    </row>
    <row r="49" spans="2:6" s="426" customFormat="1">
      <c r="B49" s="430"/>
      <c r="C49" s="439"/>
      <c r="D49" s="440"/>
      <c r="E49" s="441"/>
      <c r="F49" s="441"/>
    </row>
    <row r="51" spans="2:6">
      <c r="C51" s="9"/>
      <c r="D51" s="13"/>
      <c r="E51" s="14"/>
      <c r="F51" s="14"/>
    </row>
  </sheetData>
  <sheetProtection sheet="1" objects="1" scenarios="1"/>
  <mergeCells count="8">
    <mergeCell ref="P5:P6"/>
    <mergeCell ref="R5:R6"/>
    <mergeCell ref="D5:D6"/>
    <mergeCell ref="F5:F6"/>
    <mergeCell ref="H5:H6"/>
    <mergeCell ref="J5:J6"/>
    <mergeCell ref="L5:L6"/>
    <mergeCell ref="N5:N6"/>
  </mergeCells>
  <pageMargins left="0.75" right="0.75" top="1" bottom="1" header="0.5" footer="0.5"/>
  <headerFooter alignWithMargins="0">
    <oddFooter>&amp;L&amp;A&amp;C&amp;D&amp;R&amp;P of &amp;N</oddFooter>
  </headerFooter>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Welcome</vt:lpstr>
      <vt:lpstr>About My Ranch</vt:lpstr>
      <vt:lpstr>1. Cow-Calf_InputForm</vt:lpstr>
      <vt:lpstr>2a. Replacement_InputForm</vt:lpstr>
      <vt:lpstr>2b. HomeRaisedBulls_InputForm</vt:lpstr>
      <vt:lpstr>3. Backgrounder_InputForm</vt:lpstr>
      <vt:lpstr>4. Grasser_InputForm</vt:lpstr>
      <vt:lpstr>5. Finisher_InputForm</vt:lpstr>
      <vt:lpstr>6. Pasture_InputForm</vt:lpstr>
      <vt:lpstr>7. Forage_InputForm</vt:lpstr>
      <vt:lpstr>Data</vt:lpstr>
      <vt:lpstr>8. Grain_InputForm</vt:lpstr>
      <vt:lpstr>9. "Other" Revenues</vt:lpstr>
      <vt:lpstr>10. Expenses</vt:lpstr>
      <vt:lpstr>11. Unpaid Labour</vt:lpstr>
      <vt:lpstr>12. Assets_for Depreciation</vt:lpstr>
      <vt:lpstr>Production Indicators</vt:lpstr>
      <vt:lpstr>Cow-calf CoP</vt:lpstr>
      <vt:lpstr>Repl Heifer CoP</vt:lpstr>
      <vt:lpstr>RanchRaised Bull CoP</vt:lpstr>
      <vt:lpstr>Bckgrdr CoP</vt:lpstr>
      <vt:lpstr>Grasser CoP</vt:lpstr>
      <vt:lpstr>Finisher CoP</vt:lpstr>
      <vt:lpstr>Pasture CoP</vt:lpstr>
      <vt:lpstr>Forage CoP</vt:lpstr>
      <vt:lpstr>Grain CoP</vt:lpstr>
      <vt:lpstr>Winners_Losers</vt:lpstr>
      <vt:lpstr>Whole Farm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klarson</dc:creator>
  <cp:lastModifiedBy>Kathy Lang</cp:lastModifiedBy>
  <cp:lastPrinted>2014-04-01T17:36:41Z</cp:lastPrinted>
  <dcterms:created xsi:type="dcterms:W3CDTF">2012-04-26T16:10:30Z</dcterms:created>
  <dcterms:modified xsi:type="dcterms:W3CDTF">2015-12-21T16:41:05Z</dcterms:modified>
</cp:coreProperties>
</file>